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I\DAO\DOC DAO CONJOINT 2022\DOCS DAO CONJOINT 2022 v esso\DQE\"/>
    </mc:Choice>
  </mc:AlternateContent>
  <xr:revisionPtr revIDLastSave="0" documentId="8_{C5F00AD1-7D4E-4EA6-9BFE-030CB4D9F463}" xr6:coauthVersionLast="47" xr6:coauthVersionMax="47" xr10:uidLastSave="{00000000-0000-0000-0000-000000000000}"/>
  <bookViews>
    <workbookView xWindow="-108" yWindow="-108" windowWidth="23256" windowHeight="12576" tabRatio="685" activeTab="2" xr2:uid="{00000000-000D-0000-FFFF-FFFF00000000}"/>
  </bookViews>
  <sheets>
    <sheet name="cantine" sheetId="30" r:id="rId1"/>
    <sheet name="Maternelle" sheetId="35" r:id="rId2"/>
    <sheet name="Réha latrine 6 cabines" sheetId="36" r:id="rId3"/>
    <sheet name="Recap" sheetId="32" r:id="rId4"/>
  </sheets>
  <definedNames>
    <definedName name="capinit">#REF!</definedName>
    <definedName name="Cf">#REF!</definedName>
    <definedName name="cgp">#REF!</definedName>
    <definedName name="coeff_mult">#REF!</definedName>
    <definedName name="dos.BP">#REF!</definedName>
    <definedName name="Dos.CH">#REF!</definedName>
    <definedName name="Dos.dallage">#REF!</definedName>
    <definedName name="Dos.DP">#REF!</definedName>
    <definedName name="Dos.LT">#REF!</definedName>
    <definedName name="Dos.Pot">#REF!</definedName>
    <definedName name="Dos.Pout">#REF!</definedName>
    <definedName name="Dos.Raid">#REF!</definedName>
    <definedName name="DOS.SEMFIL">#REF!</definedName>
    <definedName name="DOS.SEMISOL">#REF!</definedName>
    <definedName name="EI">#REF!</definedName>
    <definedName name="épr.BP">#REF!</definedName>
    <definedName name="épr.dallage">#REF!</definedName>
    <definedName name="épr.enduit">#REF!</definedName>
    <definedName name="Esp.pose">#REF!</definedName>
    <definedName name="EX">#REF!</definedName>
    <definedName name="Haut.CH">#REF!</definedName>
    <definedName name="HC">#REF!</definedName>
    <definedName name="HM">#REF!</definedName>
    <definedName name="Larg.Agg">#REF!</definedName>
    <definedName name="Larg.BP">#REF!</definedName>
    <definedName name="Larg.CH">#REF!</definedName>
    <definedName name="Larg.F">#REF!</definedName>
    <definedName name="LTC">#REF!</definedName>
    <definedName name="LTF">#REF!</definedName>
    <definedName name="LTM">#REF!</definedName>
    <definedName name="LTMP">#REF!</definedName>
    <definedName name="MAC">#REF!</definedName>
    <definedName name="Nbre.plac">#REF!</definedName>
    <definedName name="Nbre.pose">#REF!</definedName>
    <definedName name="Nombre">#REF!</definedName>
    <definedName name="nombremag">#REF!</definedName>
    <definedName name="PF">#REF!</definedName>
    <definedName name="sortes">#REF!</definedName>
    <definedName name="Surf.fen">#REF!</definedName>
    <definedName name="Surf.Loc">#REF!</definedName>
    <definedName name="Surf.plac">#REF!</definedName>
    <definedName name="Surf.plaf">#REF!</definedName>
    <definedName name="Surf.port">#REF!</definedName>
    <definedName name="Surf.vides">#REF!</definedName>
    <definedName name="Surf.VMP">#REF!</definedName>
    <definedName name="Type.Toiture">#REF!</definedName>
    <definedName name="types">#REF!</definedName>
    <definedName name="_xlnm.Print_Area" localSheetId="0">cantine!$A$1:$F$133</definedName>
    <definedName name="_xlnm.Print_Area" localSheetId="1">Maternelle!$A$1:$F$58</definedName>
    <definedName name="_xlnm.Print_Area" localSheetId="3">Recap!$A$1:$B$12</definedName>
    <definedName name="_xlnm.Print_Area" localSheetId="2">'Réha latrine 6 cabines'!$A$1:$F$123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35" l="1"/>
  <c r="F73" i="30"/>
  <c r="F18" i="30" l="1"/>
  <c r="F11" i="30"/>
  <c r="F116" i="30"/>
  <c r="F127" i="30"/>
  <c r="F113" i="36"/>
  <c r="F111" i="36"/>
  <c r="F14" i="36"/>
  <c r="F87" i="36"/>
  <c r="F57" i="35"/>
  <c r="F25" i="35"/>
  <c r="D13" i="35"/>
  <c r="D11" i="35"/>
  <c r="D49" i="35"/>
  <c r="F43" i="35"/>
  <c r="D39" i="35"/>
  <c r="D37" i="35"/>
  <c r="D24" i="35"/>
  <c r="D110" i="36"/>
  <c r="D108" i="36"/>
  <c r="F108" i="36" s="1"/>
  <c r="D106" i="36"/>
  <c r="F106" i="36" s="1"/>
  <c r="D105" i="36"/>
  <c r="F105" i="36" s="1"/>
  <c r="F110" i="36"/>
  <c r="F100" i="36"/>
  <c r="F99" i="36"/>
  <c r="F94" i="36"/>
  <c r="F93" i="36"/>
  <c r="F92" i="36"/>
  <c r="F86" i="36"/>
  <c r="F85" i="36"/>
  <c r="F79" i="36"/>
  <c r="F80" i="36" s="1"/>
  <c r="F74" i="36"/>
  <c r="D72" i="36"/>
  <c r="F72" i="36" s="1"/>
  <c r="F70" i="36"/>
  <c r="F64" i="36"/>
  <c r="F65" i="36" s="1"/>
  <c r="F60" i="36"/>
  <c r="F61" i="36" s="1"/>
  <c r="F54" i="36"/>
  <c r="F52" i="36"/>
  <c r="F49" i="36"/>
  <c r="D49" i="36"/>
  <c r="F48" i="36"/>
  <c r="D43" i="36"/>
  <c r="F43" i="36" s="1"/>
  <c r="D39" i="36"/>
  <c r="D41" i="36" s="1"/>
  <c r="F41" i="36" s="1"/>
  <c r="D37" i="36"/>
  <c r="F37" i="36" s="1"/>
  <c r="F35" i="36"/>
  <c r="D35" i="36"/>
  <c r="D32" i="36"/>
  <c r="F32" i="36" s="1"/>
  <c r="D30" i="36"/>
  <c r="F30" i="36" s="1"/>
  <c r="F29" i="36"/>
  <c r="D27" i="36"/>
  <c r="F27" i="36" s="1"/>
  <c r="D24" i="36"/>
  <c r="D26" i="36" s="1"/>
  <c r="F26" i="36" s="1"/>
  <c r="F22" i="36"/>
  <c r="D22" i="36"/>
  <c r="F13" i="36"/>
  <c r="F12" i="36"/>
  <c r="D44" i="36" l="1"/>
  <c r="F44" i="36" s="1"/>
  <c r="D33" i="36"/>
  <c r="F33" i="36" s="1"/>
  <c r="D45" i="36"/>
  <c r="F45" i="36" s="1"/>
  <c r="D34" i="36"/>
  <c r="F34" i="36" s="1"/>
  <c r="D40" i="36"/>
  <c r="F40" i="36" s="1"/>
  <c r="F95" i="36"/>
  <c r="F101" i="36"/>
  <c r="F16" i="36"/>
  <c r="F75" i="36"/>
  <c r="F39" i="36"/>
  <c r="F24" i="36"/>
  <c r="D47" i="36"/>
  <c r="F47" i="36" s="1"/>
  <c r="D25" i="36"/>
  <c r="F25" i="36" s="1"/>
  <c r="F55" i="36" l="1"/>
  <c r="F57" i="36" s="1"/>
  <c r="F115" i="36" s="1"/>
  <c r="F117" i="36" s="1"/>
  <c r="B10" i="32" s="1"/>
  <c r="D51" i="35" l="1"/>
  <c r="F51" i="35" s="1"/>
  <c r="F49" i="35"/>
  <c r="D48" i="35"/>
  <c r="F48" i="35" s="1"/>
  <c r="F45" i="35"/>
  <c r="F44" i="35"/>
  <c r="F46" i="35" s="1"/>
  <c r="F40" i="35"/>
  <c r="F39" i="35"/>
  <c r="D38" i="35"/>
  <c r="F38" i="35" s="1"/>
  <c r="F37" i="35"/>
  <c r="D34" i="35"/>
  <c r="F34" i="35" s="1"/>
  <c r="D33" i="35"/>
  <c r="F33" i="35" s="1"/>
  <c r="F32" i="35"/>
  <c r="D31" i="35"/>
  <c r="F31" i="35" s="1"/>
  <c r="F30" i="35"/>
  <c r="F29" i="35"/>
  <c r="D28" i="35"/>
  <c r="F28" i="35" s="1"/>
  <c r="D27" i="35"/>
  <c r="F27" i="35" s="1"/>
  <c r="F24" i="35"/>
  <c r="F23" i="35"/>
  <c r="D22" i="35"/>
  <c r="F22" i="35" s="1"/>
  <c r="D21" i="35"/>
  <c r="F21" i="35" s="1"/>
  <c r="D20" i="35"/>
  <c r="F20" i="35" s="1"/>
  <c r="D19" i="35"/>
  <c r="F19" i="35" s="1"/>
  <c r="D18" i="35"/>
  <c r="F18" i="35" s="1"/>
  <c r="D17" i="35"/>
  <c r="F17" i="35" s="1"/>
  <c r="D16" i="35"/>
  <c r="F16" i="35" s="1"/>
  <c r="F15" i="35"/>
  <c r="F13" i="35"/>
  <c r="D12" i="35"/>
  <c r="F12" i="35" s="1"/>
  <c r="F11" i="35"/>
  <c r="F10" i="35"/>
  <c r="F7" i="35"/>
  <c r="F8" i="35" s="1"/>
  <c r="D31" i="30"/>
  <c r="D27" i="30"/>
  <c r="D24" i="30"/>
  <c r="D17" i="30"/>
  <c r="D15" i="30"/>
  <c r="D79" i="30"/>
  <c r="F41" i="35" l="1"/>
  <c r="D50" i="35"/>
  <c r="F50" i="35" s="1"/>
  <c r="F52" i="35" s="1"/>
  <c r="F14" i="35"/>
  <c r="F35" i="35"/>
  <c r="F55" i="35" l="1"/>
  <c r="B6" i="32" l="1"/>
  <c r="D126" i="30"/>
  <c r="F126" i="30" s="1"/>
  <c r="D121" i="30"/>
  <c r="F121" i="30" s="1"/>
  <c r="D120" i="30"/>
  <c r="D123" i="30" s="1"/>
  <c r="F123" i="30" s="1"/>
  <c r="F115" i="30"/>
  <c r="F114" i="30"/>
  <c r="F109" i="30"/>
  <c r="F107" i="30"/>
  <c r="F106" i="30"/>
  <c r="D99" i="30"/>
  <c r="F99" i="30" s="1"/>
  <c r="D98" i="30"/>
  <c r="F98" i="30" s="1"/>
  <c r="F94" i="30"/>
  <c r="F95" i="30" s="1"/>
  <c r="D89" i="30"/>
  <c r="F89" i="30" s="1"/>
  <c r="F87" i="30"/>
  <c r="D85" i="30"/>
  <c r="F85" i="30" s="1"/>
  <c r="F79" i="30"/>
  <c r="F80" i="30" s="1"/>
  <c r="F62" i="30"/>
  <c r="F60" i="30"/>
  <c r="F58" i="30"/>
  <c r="F55" i="30"/>
  <c r="F54" i="30"/>
  <c r="D48" i="30"/>
  <c r="D49" i="30" s="1"/>
  <c r="F49" i="30" s="1"/>
  <c r="F42" i="30"/>
  <c r="D40" i="30"/>
  <c r="F40" i="30" s="1"/>
  <c r="D38" i="30"/>
  <c r="D53" i="30" s="1"/>
  <c r="F53" i="30" s="1"/>
  <c r="D35" i="30"/>
  <c r="F35" i="30" s="1"/>
  <c r="D33" i="30"/>
  <c r="F33" i="30" s="1"/>
  <c r="D30" i="30"/>
  <c r="D44" i="30" s="1"/>
  <c r="D26" i="30"/>
  <c r="F26" i="30" s="1"/>
  <c r="D23" i="30"/>
  <c r="F24" i="30" s="1"/>
  <c r="F17" i="30"/>
  <c r="D16" i="30"/>
  <c r="F16" i="30" s="1"/>
  <c r="F15" i="30"/>
  <c r="F10" i="30"/>
  <c r="F9" i="30"/>
  <c r="F8" i="30"/>
  <c r="D41" i="30" l="1"/>
  <c r="F41" i="30" s="1"/>
  <c r="F110" i="30"/>
  <c r="D124" i="30"/>
  <c r="F124" i="30" s="1"/>
  <c r="F31" i="30"/>
  <c r="F120" i="30"/>
  <c r="F90" i="30"/>
  <c r="D46" i="30"/>
  <c r="F46" i="30" s="1"/>
  <c r="D45" i="30"/>
  <c r="F45" i="30" s="1"/>
  <c r="F44" i="30"/>
  <c r="F101" i="30"/>
  <c r="D28" i="30"/>
  <c r="F28" i="30" s="1"/>
  <c r="F23" i="30"/>
  <c r="F38" i="30"/>
  <c r="D50" i="30"/>
  <c r="F50" i="30" s="1"/>
  <c r="F27" i="30"/>
  <c r="D32" i="30"/>
  <c r="F32" i="30" s="1"/>
  <c r="F48" i="30"/>
  <c r="F30" i="30"/>
  <c r="F75" i="30" l="1"/>
  <c r="F129" i="30" s="1"/>
  <c r="F131" i="30" l="1"/>
  <c r="E133" i="30" l="1"/>
  <c r="B8" i="32" s="1"/>
  <c r="B12" i="32" s="1"/>
</calcChain>
</file>

<file path=xl/sharedStrings.xml><?xml version="1.0" encoding="utf-8"?>
<sst xmlns="http://schemas.openxmlformats.org/spreadsheetml/2006/main" count="596" uniqueCount="377">
  <si>
    <t>Unité</t>
  </si>
  <si>
    <t>Montant du marché</t>
  </si>
  <si>
    <t>Quantité du marché</t>
  </si>
  <si>
    <t>Prix unitaire du marché</t>
  </si>
  <si>
    <t>m²</t>
  </si>
  <si>
    <t>1.2</t>
  </si>
  <si>
    <t>2.3</t>
  </si>
  <si>
    <t>ml</t>
  </si>
  <si>
    <t xml:space="preserve">Désignation des Travaux </t>
  </si>
  <si>
    <t>u</t>
  </si>
  <si>
    <t>m3</t>
  </si>
  <si>
    <t>PEINTURE</t>
  </si>
  <si>
    <t>N° d'ordre</t>
  </si>
  <si>
    <t>LOT 1</t>
  </si>
  <si>
    <t>LOT 2</t>
  </si>
  <si>
    <t>GROS-ŒUVRE</t>
  </si>
  <si>
    <t>2.2.</t>
  </si>
  <si>
    <t>2.2.1</t>
  </si>
  <si>
    <t>LOT 3</t>
  </si>
  <si>
    <t>FONDATION</t>
  </si>
  <si>
    <t xml:space="preserve">         * Béton</t>
  </si>
  <si>
    <t xml:space="preserve">         * Coffrage 12 m2/m3</t>
  </si>
  <si>
    <t xml:space="preserve">         * Aciers Tors HA 80 kg/m3</t>
  </si>
  <si>
    <t>kg</t>
  </si>
  <si>
    <t>2.2.2</t>
  </si>
  <si>
    <t>ELEVATION</t>
  </si>
  <si>
    <t>2.2.2.1</t>
  </si>
  <si>
    <t>2.2.2.5</t>
  </si>
  <si>
    <t>2.2.2.8</t>
  </si>
  <si>
    <t>2.3.1</t>
  </si>
  <si>
    <t>2.3.2</t>
  </si>
  <si>
    <t>2.3.2.5</t>
  </si>
  <si>
    <t xml:space="preserve"> ENDUITS</t>
  </si>
  <si>
    <t>OUVRAGES DIVERS</t>
  </si>
  <si>
    <t>Marches d'escalier</t>
  </si>
  <si>
    <t xml:space="preserve">Rampe </t>
  </si>
  <si>
    <t>Sous-total Maçonnerie béton armé</t>
  </si>
  <si>
    <t>TOTAL GROS-ŒUVRES</t>
  </si>
  <si>
    <t>CHARPENTE</t>
  </si>
  <si>
    <t>TOTAL CHARPENTE</t>
  </si>
  <si>
    <t>LOT 4</t>
  </si>
  <si>
    <t>COUVERTURE</t>
  </si>
  <si>
    <t>GENERALITES</t>
  </si>
  <si>
    <t xml:space="preserve">Couverture </t>
  </si>
  <si>
    <t>Bardage</t>
  </si>
  <si>
    <t>TOTAL COUVERTURE</t>
  </si>
  <si>
    <t>LOT 5</t>
  </si>
  <si>
    <t>ETANCHEITE</t>
  </si>
  <si>
    <t>5.1</t>
  </si>
  <si>
    <t>5.1.1</t>
  </si>
  <si>
    <t>Etanchéité des couvertures tôle</t>
  </si>
  <si>
    <t>TOTAL ETANCHEITE</t>
  </si>
  <si>
    <t>LOT 6</t>
  </si>
  <si>
    <t>LOT 8</t>
  </si>
  <si>
    <t>SERRURERIE</t>
  </si>
  <si>
    <t>TOTAL SERRURERIE</t>
  </si>
  <si>
    <t>Peinture glycero sur ouvrages metalliques</t>
  </si>
  <si>
    <t>TOTAL PEINTURE</t>
  </si>
  <si>
    <t xml:space="preserve">         * Aciers Tors HA 70 kg/m3</t>
  </si>
  <si>
    <t xml:space="preserve"> Peinture extérieure</t>
  </si>
  <si>
    <t xml:space="preserve"> Peinture intérieure</t>
  </si>
  <si>
    <t>Rampe d'accès</t>
  </si>
  <si>
    <t>REVETMENT DUR</t>
  </si>
  <si>
    <t>sol et faîence</t>
  </si>
  <si>
    <t xml:space="preserve">TOTAL REVETEMENT </t>
  </si>
  <si>
    <t>1.1</t>
  </si>
  <si>
    <t>1.3</t>
  </si>
  <si>
    <t>DESIGNATION</t>
  </si>
  <si>
    <t>LOT 7</t>
  </si>
  <si>
    <t>LOT 9</t>
  </si>
  <si>
    <t>LOT 10</t>
  </si>
  <si>
    <t>2.1</t>
  </si>
  <si>
    <t>2.1.1.</t>
  </si>
  <si>
    <t>2.1.2.</t>
  </si>
  <si>
    <t>2.2.1.1</t>
  </si>
  <si>
    <t>2.2.1.2</t>
  </si>
  <si>
    <t>2.2.1.3</t>
  </si>
  <si>
    <t>2.2.1.4</t>
  </si>
  <si>
    <t>2.2.1.5</t>
  </si>
  <si>
    <t>2.2.1.6</t>
  </si>
  <si>
    <t xml:space="preserve">         * Coffrage 2 m2/m3</t>
  </si>
  <si>
    <t>2.3.3</t>
  </si>
  <si>
    <t>2.3.3.1</t>
  </si>
  <si>
    <t>3.1</t>
  </si>
  <si>
    <t>CHARPENTE BOIS  ASSEMBLE ET TRAITE</t>
  </si>
  <si>
    <t>3.1.1</t>
  </si>
  <si>
    <t>4.1</t>
  </si>
  <si>
    <t>4.1.1</t>
  </si>
  <si>
    <t>4.1.2</t>
  </si>
  <si>
    <t>Faitiere crantée.</t>
  </si>
  <si>
    <t>4.1.2.1</t>
  </si>
  <si>
    <t>7.1</t>
  </si>
  <si>
    <t>7.2</t>
  </si>
  <si>
    <t>10.1</t>
  </si>
  <si>
    <t>9.1</t>
  </si>
  <si>
    <t>4.1.1.1</t>
  </si>
  <si>
    <t>2.2.2.3</t>
  </si>
  <si>
    <t>7.1.1</t>
  </si>
  <si>
    <t>7.2.1</t>
  </si>
  <si>
    <t>9.1.1</t>
  </si>
  <si>
    <t>10.1.1</t>
  </si>
  <si>
    <t>10.1.2</t>
  </si>
  <si>
    <t>10.2</t>
  </si>
  <si>
    <t>10.2.1</t>
  </si>
  <si>
    <t>10.4</t>
  </si>
  <si>
    <t>10.4.1</t>
  </si>
  <si>
    <t>Installation de chantier</t>
  </si>
  <si>
    <t>TRAVAUX PRELIMINAIRES</t>
  </si>
  <si>
    <t>Implantation du bâtiment</t>
  </si>
  <si>
    <t>ff</t>
  </si>
  <si>
    <t>TOTAL TRAVAUX PRELIMINAIRES</t>
  </si>
  <si>
    <t>TERRASSEMENTS PARTICULIERS</t>
  </si>
  <si>
    <t>Remblai provenant des fouilles</t>
  </si>
  <si>
    <t xml:space="preserve">Remblai  sous dallage </t>
  </si>
  <si>
    <t>Sous-total Terrassement particuliers</t>
  </si>
  <si>
    <t>MACONNERIE BETON ARME</t>
  </si>
  <si>
    <t>Semelle filante EP = 20 cm dosé à 200 kg/m3</t>
  </si>
  <si>
    <t>2.2.1.2.1</t>
  </si>
  <si>
    <t>2.2.1.3.2</t>
  </si>
  <si>
    <t>Amorce des poteaux en BA dosé à 3000 kg/m3</t>
  </si>
  <si>
    <t>2.2.1.3.1</t>
  </si>
  <si>
    <t>2.2.1.3.3</t>
  </si>
  <si>
    <t>Chaînage bas en B.A dosé à 300 kg/m3</t>
  </si>
  <si>
    <t>2.2.1.4.1</t>
  </si>
  <si>
    <t>2.2.1.4.2</t>
  </si>
  <si>
    <t>2.2.1.4.3</t>
  </si>
  <si>
    <t>Agglos pleins de 15</t>
  </si>
  <si>
    <t>Dallage au sol en béton armé dosé à 300 kg/m3</t>
  </si>
  <si>
    <t>2.2.1.6.1</t>
  </si>
  <si>
    <t>Agglos 15 creux</t>
  </si>
  <si>
    <t>Poteaux et raidisseurs en béton armé dosé à 350 kg/m3</t>
  </si>
  <si>
    <t>2.2.2.3.1</t>
  </si>
  <si>
    <t>2.2.2.3.2</t>
  </si>
  <si>
    <t>2.2.2.3.3</t>
  </si>
  <si>
    <t xml:space="preserve">         * Coffrage 12 kg/m3</t>
  </si>
  <si>
    <t>Chaînage haut et linteaux dosés à 350 kg/m3</t>
  </si>
  <si>
    <t>2.2.2.5.1</t>
  </si>
  <si>
    <t>2.2.2.5.2</t>
  </si>
  <si>
    <t>2.2.2.5.3</t>
  </si>
  <si>
    <t>Console en BA dosé à 350 kg/m3</t>
  </si>
  <si>
    <t>2.2.2.8.1</t>
  </si>
  <si>
    <t>2.2.2.8.2</t>
  </si>
  <si>
    <t>2.2.2.8.3</t>
  </si>
  <si>
    <t>2.2.2.9</t>
  </si>
  <si>
    <t>2.2.2.9.1</t>
  </si>
  <si>
    <t xml:space="preserve"> * Enduits dosés à 250 kg/m3 </t>
  </si>
  <si>
    <t>2.2.2.10</t>
  </si>
  <si>
    <t xml:space="preserve">Chape incorporée et bouchardée  dosé à 300 kg/m3 </t>
  </si>
  <si>
    <t>2.2.2.11</t>
  </si>
  <si>
    <t>Claustras de 22 x 22x20, type projet BAD</t>
  </si>
  <si>
    <t>2.3.1.4</t>
  </si>
  <si>
    <t xml:space="preserve"> placard en maçonnerie </t>
  </si>
  <si>
    <t xml:space="preserve">         * placard en maçonnerie de 60 x 150 x 100 cm</t>
  </si>
  <si>
    <t>2.3.5</t>
  </si>
  <si>
    <t>Estrade</t>
  </si>
  <si>
    <t>2.3.5.1</t>
  </si>
  <si>
    <t xml:space="preserve">Fouilles en rigole </t>
  </si>
  <si>
    <t>2.3.5.2</t>
  </si>
  <si>
    <t>Remblai  sous l'estrade</t>
  </si>
  <si>
    <t>2.3.5.3</t>
  </si>
  <si>
    <t>Béton de propreté EP = 0,05 dosé à 150 kg/m3</t>
  </si>
  <si>
    <t>2.3.5.4</t>
  </si>
  <si>
    <t>Agglos pleins de 15 d'épaisseur</t>
  </si>
  <si>
    <t>2.3.5.5</t>
  </si>
  <si>
    <t>Dallage de l'estrade en béton armé dosé à 350 kg/m3</t>
  </si>
  <si>
    <t>2.3.5.5.1</t>
  </si>
  <si>
    <t>2.3.5.5.2</t>
  </si>
  <si>
    <t xml:space="preserve">         * Armature en treilli de fer diam.6</t>
  </si>
  <si>
    <t>2.3.5.5.3</t>
  </si>
  <si>
    <t>2.3.5.6</t>
  </si>
  <si>
    <t>Enduits sur l'estrade</t>
  </si>
  <si>
    <t>Charpente</t>
  </si>
  <si>
    <t>Tôle bac couleur verte foncée y/c toutes sujection de pose</t>
  </si>
  <si>
    <t xml:space="preserve">Faitiere prefabriquée </t>
  </si>
  <si>
    <t>5.1.3</t>
  </si>
  <si>
    <t>5.1.3.1</t>
  </si>
  <si>
    <t>Bardage en tôle bac colorée h=30 cm</t>
  </si>
  <si>
    <t>Etanchéité sur les têtes de pointe</t>
  </si>
  <si>
    <t>FAUX PLAFOND EN CP 8 mm</t>
  </si>
  <si>
    <t>Faux plafond en contre- plaqué de 8 mm, dans les magasins</t>
  </si>
  <si>
    <t>Pose de baguettes</t>
  </si>
  <si>
    <t>TOTAL FAUX PLAFOND EN CP 8mm</t>
  </si>
  <si>
    <t xml:space="preserve">Portes metalliques </t>
  </si>
  <si>
    <t>Porte métallique</t>
  </si>
  <si>
    <t>7.1.1.1</t>
  </si>
  <si>
    <t xml:space="preserve">  * 100 x 100 </t>
  </si>
  <si>
    <t>7.1.1.2</t>
  </si>
  <si>
    <t xml:space="preserve">  * 90 x 210</t>
  </si>
  <si>
    <t>Fenêtre</t>
  </si>
  <si>
    <t>Fenêtre métallique de deux battants</t>
  </si>
  <si>
    <t>8.1.3</t>
  </si>
  <si>
    <t>8.1.3.1</t>
  </si>
  <si>
    <t>Grès cerame 15x15 cm pour placard et console</t>
  </si>
  <si>
    <t>8.1.3.2</t>
  </si>
  <si>
    <t>faîence h=1 m</t>
  </si>
  <si>
    <t xml:space="preserve">Vinyl sur murs extérieurs  </t>
  </si>
  <si>
    <t>9.1.2</t>
  </si>
  <si>
    <t>Peinture glycérophtalique sur soubassement et parties courantes</t>
  </si>
  <si>
    <t>9.2</t>
  </si>
  <si>
    <t>9.2.1</t>
  </si>
  <si>
    <t>Vinyl sur murs intérieurs 2 couches</t>
  </si>
  <si>
    <t>9.2.2</t>
  </si>
  <si>
    <t xml:space="preserve">Vinyl faux plafond et séparateur de placard en c/p, 2 couches </t>
  </si>
  <si>
    <t>9.3</t>
  </si>
  <si>
    <t>9.3.1</t>
  </si>
  <si>
    <t xml:space="preserve">Peinture glycérophtalique sur portes et fenêtres metalliques </t>
  </si>
  <si>
    <t>Total Cantine</t>
  </si>
  <si>
    <t>MONTANT TOTAL DU MARCHE</t>
  </si>
  <si>
    <t>RECAPITULATIF</t>
  </si>
  <si>
    <t>CONSTRUCTION DE CANTINE</t>
  </si>
  <si>
    <t>TOTAL MARCHE</t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</si>
  <si>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</si>
  <si>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</si>
  <si>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TRAVAUX PRELIMINAIRES ET ASSAINISSEMENT</t>
  </si>
  <si>
    <t>1.2.1</t>
  </si>
  <si>
    <t>1.2.2</t>
  </si>
  <si>
    <t>SOUS/TOTAL terrassement</t>
  </si>
  <si>
    <t>TOTAL TRAVAUX PRELIMINAIRES ET ASSAINISSEMENT</t>
  </si>
  <si>
    <t xml:space="preserve"> MACONNERIE BETON ARME</t>
  </si>
  <si>
    <t>2.1.1</t>
  </si>
  <si>
    <t>2.1.1.1</t>
  </si>
  <si>
    <t xml:space="preserve"> - Agglos pleins de 15 en ciment</t>
  </si>
  <si>
    <t>2.1.1.2</t>
  </si>
  <si>
    <t xml:space="preserve"> - Raidisseur en béton armé dosé à 350 kg/m3</t>
  </si>
  <si>
    <t>2.1.1.3</t>
  </si>
  <si>
    <t>- Dallage en B.A de 15 cm</t>
  </si>
  <si>
    <t xml:space="preserve">         * Aciers Tors HA 12 kg/m3</t>
  </si>
  <si>
    <t>2.1.1.4</t>
  </si>
  <si>
    <t xml:space="preserve">        * Béton</t>
  </si>
  <si>
    <t xml:space="preserve">        * Aciers Tors HA  80 kg/m3</t>
  </si>
  <si>
    <t xml:space="preserve">        * Coffrage 12 m2/m3</t>
  </si>
  <si>
    <t>2.1.2</t>
  </si>
  <si>
    <t>2.1.2.1</t>
  </si>
  <si>
    <t>2.1.2.2</t>
  </si>
  <si>
    <t>- Raidisseur en béton armé dosé à 350 kg/m3</t>
  </si>
  <si>
    <t>2.1.2.3</t>
  </si>
  <si>
    <t>- Chainage haut en béton armé dosé à 350 kg/m3</t>
  </si>
  <si>
    <t>2.1.2.4</t>
  </si>
  <si>
    <t>2.1.2.5</t>
  </si>
  <si>
    <t>Claustras de 24 x 24 carré, type projet BAD</t>
  </si>
  <si>
    <r>
      <t>m</t>
    </r>
    <r>
      <rPr>
        <vertAlign val="superscript"/>
        <sz val="12"/>
        <rFont val="Arial "/>
      </rPr>
      <t>2</t>
    </r>
  </si>
  <si>
    <t>2.2</t>
  </si>
  <si>
    <t xml:space="preserve"> Escalier en agglos pleins de 15 cm d'épaisseur</t>
  </si>
  <si>
    <t>Panne de 8 x 8cm</t>
  </si>
  <si>
    <t>5.1.1.1</t>
  </si>
  <si>
    <t>5.1.2</t>
  </si>
  <si>
    <t>5.1.2.1</t>
  </si>
  <si>
    <t>5.1.4</t>
  </si>
  <si>
    <t>5.1.4.1</t>
  </si>
  <si>
    <t>Tire- fonds complets</t>
  </si>
  <si>
    <t>6.1</t>
  </si>
  <si>
    <t>6.1.1</t>
  </si>
  <si>
    <t>Porte métallique tôlée sur une face</t>
  </si>
  <si>
    <t xml:space="preserve">  * 70 x 200</t>
  </si>
  <si>
    <t>PLOMBERIE SANITAIRE</t>
  </si>
  <si>
    <t>8.1</t>
  </si>
  <si>
    <t xml:space="preserve"> PLOMBERIE</t>
  </si>
  <si>
    <t>8.1.1</t>
  </si>
  <si>
    <t>Appareillage</t>
  </si>
  <si>
    <t>8.1.1.1</t>
  </si>
  <si>
    <t>8.1.1.2</t>
  </si>
  <si>
    <t>TOTAL PLOMBERIE</t>
  </si>
  <si>
    <t>9.1.1.2</t>
  </si>
  <si>
    <t xml:space="preserve"> - Peinture glycérophtalique sur portes métalliques</t>
  </si>
  <si>
    <t>LATRINE</t>
  </si>
  <si>
    <t>Nettoyage et décapage</t>
  </si>
  <si>
    <t xml:space="preserve"> - Peinture glycérophtalique sur parties courantes </t>
  </si>
  <si>
    <t>COEFFICIENT D'ELOIGNEMENT</t>
  </si>
  <si>
    <t>TOTAL  HT</t>
  </si>
  <si>
    <t>Coefficient d'éloignement</t>
  </si>
  <si>
    <t>Escalier en agglos pleins de 15 d'épaisseur</t>
  </si>
  <si>
    <t>Fouilles en rigole 85 x 60 cm</t>
  </si>
  <si>
    <t xml:space="preserve">         * Aciers Tors HA  80 kg/m3</t>
  </si>
  <si>
    <t xml:space="preserve">Devis de constructoin d'une cantine </t>
  </si>
  <si>
    <t>DEVIS QUANTITATIF ET ESTIMATIF POUR LA CONSTRUCTION D'UNE CLASSE MATERNELLE</t>
  </si>
  <si>
    <t>N°</t>
  </si>
  <si>
    <t>UNITE</t>
  </si>
  <si>
    <t>Q.</t>
  </si>
  <si>
    <t>P.U.</t>
  </si>
  <si>
    <t>MONTANT</t>
  </si>
  <si>
    <t>INSTALLATION DE CHANTIER</t>
  </si>
  <si>
    <t>fft</t>
  </si>
  <si>
    <t>TOTAL I</t>
  </si>
  <si>
    <t>TERRASSEMENT ET MOUVEMENTS DE TERRE</t>
  </si>
  <si>
    <t xml:space="preserve">Implantation de l'ouvrage </t>
  </si>
  <si>
    <t>ens</t>
  </si>
  <si>
    <t>Fouille en rigole</t>
  </si>
  <si>
    <t>Remblais des fouilles</t>
  </si>
  <si>
    <t>2.4</t>
  </si>
  <si>
    <t xml:space="preserve">Remblais compacté sous dallage  </t>
  </si>
  <si>
    <t>TOTAL 2</t>
  </si>
  <si>
    <t>FONDATIONS</t>
  </si>
  <si>
    <t xml:space="preserve">Béton de propreté de 5 cm dosé à 150kg/m3 </t>
  </si>
  <si>
    <t>3.2</t>
  </si>
  <si>
    <t>Béton armé  pour semelles filantes en BA sous mur</t>
  </si>
  <si>
    <t>3.3</t>
  </si>
  <si>
    <t>Maçonnerie en agglos de 15 pour soubassement</t>
  </si>
  <si>
    <t>3.4</t>
  </si>
  <si>
    <t>Béton armé pour chaînage bas</t>
  </si>
  <si>
    <t>3.5</t>
  </si>
  <si>
    <t>Béton armé pour  armoce de poteaux</t>
  </si>
  <si>
    <t>3.6</t>
  </si>
  <si>
    <t>3.7</t>
  </si>
  <si>
    <t>Chape ciment bouchardée avec forme de pente pour écoulement des eaux</t>
  </si>
  <si>
    <t>Rampe d'accès en béton armé</t>
  </si>
  <si>
    <t>3.9</t>
  </si>
  <si>
    <t>Film Polyane</t>
  </si>
  <si>
    <t>TOTAL 3</t>
  </si>
  <si>
    <t>ELEVATION RDC</t>
  </si>
  <si>
    <t xml:space="preserve">Maçonnerie en agglos creux 15 pour murs </t>
  </si>
  <si>
    <t>Claustras type BAD 2</t>
  </si>
  <si>
    <t xml:space="preserve">Placard en maçonnerie avec trois étagères en BA avec porte métallique </t>
  </si>
  <si>
    <t>Bibliothèque en maçonnerie avec trois étagères BA</t>
  </si>
  <si>
    <t>4.2</t>
  </si>
  <si>
    <t xml:space="preserve">Béton Armé pour Raidisseurs et poteaux </t>
  </si>
  <si>
    <t xml:space="preserve">Béton Armé pour chainage haut </t>
  </si>
  <si>
    <t>4.9</t>
  </si>
  <si>
    <t>Enduits  intérieurs et intérieurs sur murs en élévation et murs sous bassement(dosé à 350kg/m3)</t>
  </si>
  <si>
    <t>4.10</t>
  </si>
  <si>
    <t>TOTAL 4</t>
  </si>
  <si>
    <t>CHARPENTE BOIS/ COUVERTURE</t>
  </si>
  <si>
    <t>5.3</t>
  </si>
  <si>
    <t xml:space="preserve">Bardage en tôle de largeur 40cm </t>
  </si>
  <si>
    <t>5.4</t>
  </si>
  <si>
    <t>5.5</t>
  </si>
  <si>
    <t>Fourniture et pose de faitière</t>
  </si>
  <si>
    <t>TOTAL 5</t>
  </si>
  <si>
    <t xml:space="preserve">MENUISERIE </t>
  </si>
  <si>
    <t>TOTAL 6</t>
  </si>
  <si>
    <t xml:space="preserve">PEINTURE </t>
  </si>
  <si>
    <t xml:space="preserve">Peinture glycéro sur mur </t>
  </si>
  <si>
    <t>Peinture glycéro sur menuiserie</t>
  </si>
  <si>
    <t>6.2</t>
  </si>
  <si>
    <t xml:space="preserve">Peinture vinylique sur murs en élévation </t>
  </si>
  <si>
    <t>6.3</t>
  </si>
  <si>
    <t xml:space="preserve">Peinture ardoisine  pour tableau </t>
  </si>
  <si>
    <t>TOTAL 7</t>
  </si>
  <si>
    <t>TOTAL HT 1 CLASSE MATERNELLE</t>
  </si>
  <si>
    <t xml:space="preserve">TOTAL </t>
  </si>
  <si>
    <t>Nettoyage à l'intérieur des cabines et extérieur du bloc</t>
  </si>
  <si>
    <t>FF</t>
  </si>
  <si>
    <t xml:space="preserve">         * Enduits int. 1 face dosés à 250 kg/m3 </t>
  </si>
  <si>
    <t>- Dalettes de fermeture en béton armé ép. = 10 cm</t>
  </si>
  <si>
    <t>2.1.1.5</t>
  </si>
  <si>
    <t xml:space="preserve">Chape ciment lissée  dosé à 300 kg/m3 </t>
  </si>
  <si>
    <t xml:space="preserve">- Agglos 15 creux </t>
  </si>
  <si>
    <t xml:space="preserve">         * Enduits ext. dosés à 250 kg/m3 </t>
  </si>
  <si>
    <t xml:space="preserve">         * Enduits int. dosés à 250 kg/m3 </t>
  </si>
  <si>
    <t>ASSAINISSEMENT SECONDAIRE</t>
  </si>
  <si>
    <t xml:space="preserve"> * Dim. 60 x 90</t>
  </si>
  <si>
    <t>TOTAL ASSAINISSEMENT SECONDAIRE</t>
  </si>
  <si>
    <t>Couverture en tôle bac alu zinc  7/10</t>
  </si>
  <si>
    <t>Bardage en tôle bac alu zinc 7/10 ht=30</t>
  </si>
  <si>
    <t>Accessoires de pose</t>
  </si>
  <si>
    <t>Etanchéité sur les têtes des tire-fond</t>
  </si>
  <si>
    <t>Portes métalliques</t>
  </si>
  <si>
    <t xml:space="preserve">  * 70 x 150 pour terrasse</t>
  </si>
  <si>
    <t>Fourniture et pose de WC turque</t>
  </si>
  <si>
    <t xml:space="preserve">Révision du système de ventilation des fosses diam 80 y/c tout accessoire de pose </t>
  </si>
  <si>
    <t>Installation d'un dispositif de lavage des mains</t>
  </si>
  <si>
    <t>sol et faïence</t>
  </si>
  <si>
    <t xml:space="preserve">Grès cérame 15x15 cm au sol </t>
  </si>
  <si>
    <t>Faïence h=1 m</t>
  </si>
  <si>
    <t xml:space="preserve"> - Vinyle sur murs extérieurs  et claustras 2 couches</t>
  </si>
  <si>
    <t xml:space="preserve"> - Vinyle sur murs intérieurs  et claustras 2 couches</t>
  </si>
  <si>
    <t>Peinture Glycéro sur ouvrages métalliques</t>
  </si>
  <si>
    <t xml:space="preserve">Réhabilitation d'un bloc de latrine 6 cabines </t>
  </si>
  <si>
    <t>CONSTRUCTION DE MATERNELLE</t>
  </si>
  <si>
    <t>Deux Tableau en mortier de ciment 5 m x 1,40 m (ép = 3 cm)</t>
  </si>
  <si>
    <t>Charpente en bois rouge</t>
  </si>
  <si>
    <t xml:space="preserve">F/P de couverture tôle bac colorée et accessoires y compris étanchéité </t>
  </si>
  <si>
    <t>Portes métallique 140 x 200 pour placard</t>
  </si>
  <si>
    <t>Portes métallique 140 x 220 pour classe</t>
  </si>
  <si>
    <t>Portes métallique 90 x 220 pour classe</t>
  </si>
  <si>
    <t>Béton armé pour dallage B.A épaisseur 10 cm avec treillis soudés</t>
  </si>
  <si>
    <t>Curage des fosses</t>
  </si>
  <si>
    <t>Total réhabilitation avec lave-main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</si>
</sst>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_-* #,##0.0_-;\-* #,##0.0_-;_-* &quot;-&quot;??_-;_-@_-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"/>
    </font>
    <font>
      <sz val="11"/>
      <name val="Arial "/>
    </font>
    <font>
      <b/>
      <sz val="12"/>
      <name val="Arial "/>
    </font>
    <font>
      <b/>
      <i/>
      <sz val="12"/>
      <name val="Arial "/>
    </font>
    <font>
      <b/>
      <sz val="14"/>
      <name val="Arial "/>
    </font>
    <font>
      <i/>
      <sz val="12"/>
      <name val="Arial "/>
    </font>
    <font>
      <vertAlign val="superscript"/>
      <sz val="12"/>
      <name val="Arial "/>
    </font>
    <font>
      <sz val="10"/>
      <name val="Arial"/>
    </font>
    <font>
      <b/>
      <i/>
      <sz val="11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Calibri"/>
      <family val="2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 "/>
    </font>
    <font>
      <b/>
      <sz val="16"/>
      <name val="Arial 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6" borderId="0" xfId="0" applyFont="1" applyFill="1"/>
    <xf numFmtId="49" fontId="8" fillId="0" borderId="0" xfId="0" applyNumberFormat="1" applyFont="1" applyAlignment="1">
      <alignment horizontal="left" vertical="top"/>
    </xf>
    <xf numFmtId="0" fontId="8" fillId="0" borderId="0" xfId="0" applyFont="1"/>
    <xf numFmtId="4" fontId="8" fillId="0" borderId="0" xfId="0" applyNumberFormat="1" applyFont="1"/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/>
    <xf numFmtId="49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/>
    </xf>
    <xf numFmtId="0" fontId="6" fillId="5" borderId="17" xfId="0" applyFont="1" applyFill="1" applyBorder="1" applyAlignment="1">
      <alignment horizontal="center" vertical="center" wrapText="1"/>
    </xf>
    <xf numFmtId="3" fontId="6" fillId="5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/>
    <xf numFmtId="4" fontId="10" fillId="0" borderId="0" xfId="0" applyNumberFormat="1" applyFont="1"/>
    <xf numFmtId="49" fontId="10" fillId="0" borderId="2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3" fontId="10" fillId="4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0" fontId="10" fillId="6" borderId="2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4" fontId="10" fillId="6" borderId="1" xfId="0" applyNumberFormat="1" applyFont="1" applyFill="1" applyBorder="1"/>
    <xf numFmtId="3" fontId="10" fillId="6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right"/>
    </xf>
    <xf numFmtId="16" fontId="9" fillId="0" borderId="2" xfId="0" applyNumberFormat="1" applyFont="1" applyBorder="1" applyAlignment="1">
      <alignment horizontal="left" vertical="center"/>
    </xf>
    <xf numFmtId="0" fontId="12" fillId="3" borderId="1" xfId="0" applyFont="1" applyFill="1" applyBorder="1" applyAlignment="1">
      <alignment horizontal="right" vertical="top" wrapText="1"/>
    </xf>
    <xf numFmtId="3" fontId="10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0" fontId="12" fillId="0" borderId="3" xfId="0" applyFont="1" applyBorder="1"/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6" borderId="2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4" fontId="10" fillId="0" borderId="1" xfId="0" applyNumberFormat="1" applyFont="1" applyBorder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9" fontId="10" fillId="6" borderId="2" xfId="0" applyNumberFormat="1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9" fillId="5" borderId="1" xfId="0" applyFont="1" applyFill="1" applyBorder="1" applyAlignment="1">
      <alignment vertical="top" wrapText="1"/>
    </xf>
    <xf numFmtId="49" fontId="10" fillId="6" borderId="2" xfId="0" applyNumberFormat="1" applyFont="1" applyFill="1" applyBorder="1" applyAlignment="1">
      <alignment horizontal="center" vertical="top"/>
    </xf>
    <xf numFmtId="0" fontId="9" fillId="6" borderId="1" xfId="0" applyFont="1" applyFill="1" applyBorder="1" applyAlignment="1">
      <alignment vertical="top" wrapText="1"/>
    </xf>
    <xf numFmtId="0" fontId="9" fillId="0" borderId="1" xfId="0" applyFont="1" applyBorder="1"/>
    <xf numFmtId="0" fontId="10" fillId="0" borderId="1" xfId="0" applyFont="1" applyBorder="1"/>
    <xf numFmtId="49" fontId="10" fillId="0" borderId="3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3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0" fontId="15" fillId="2" borderId="21" xfId="3" applyFont="1" applyFill="1" applyBorder="1" applyAlignment="1">
      <alignment horizontal="center" vertical="center" wrapText="1"/>
    </xf>
    <xf numFmtId="49" fontId="15" fillId="2" borderId="3" xfId="3" applyNumberFormat="1" applyFont="1" applyFill="1" applyBorder="1" applyAlignment="1">
      <alignment horizontal="center" vertical="center" wrapText="1"/>
    </xf>
    <xf numFmtId="0" fontId="15" fillId="2" borderId="22" xfId="3" applyFont="1" applyFill="1" applyBorder="1" applyAlignment="1">
      <alignment horizontal="center" vertical="center" wrapText="1"/>
    </xf>
    <xf numFmtId="3" fontId="2" fillId="0" borderId="1" xfId="3" applyNumberFormat="1" applyFont="1" applyBorder="1" applyAlignment="1">
      <alignment horizontal="center" vertical="center"/>
    </xf>
    <xf numFmtId="3" fontId="19" fillId="9" borderId="1" xfId="3" applyNumberFormat="1" applyFont="1" applyFill="1" applyBorder="1" applyAlignment="1">
      <alignment horizontal="center" vertical="center"/>
    </xf>
    <xf numFmtId="3" fontId="19" fillId="5" borderId="1" xfId="3" applyNumberFormat="1" applyFont="1" applyFill="1" applyBorder="1" applyAlignment="1">
      <alignment horizontal="center" vertical="center"/>
    </xf>
    <xf numFmtId="16" fontId="17" fillId="0" borderId="3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3" fontId="19" fillId="6" borderId="1" xfId="3" applyNumberFormat="1" applyFont="1" applyFill="1" applyBorder="1" applyAlignment="1">
      <alignment horizontal="center" vertical="center"/>
    </xf>
    <xf numFmtId="49" fontId="2" fillId="0" borderId="2" xfId="3" applyNumberFormat="1" applyFont="1" applyBorder="1" applyAlignment="1">
      <alignment horizontal="center" vertical="center"/>
    </xf>
    <xf numFmtId="0" fontId="17" fillId="5" borderId="3" xfId="3" applyFont="1" applyFill="1" applyBorder="1" applyAlignment="1">
      <alignment horizontal="right" vertical="center" wrapText="1"/>
    </xf>
    <xf numFmtId="0" fontId="17" fillId="5" borderId="1" xfId="3" applyFont="1" applyFill="1" applyBorder="1" applyAlignment="1">
      <alignment vertical="center" wrapText="1"/>
    </xf>
    <xf numFmtId="0" fontId="2" fillId="0" borderId="0" xfId="3" applyFont="1" applyAlignment="1">
      <alignment vertical="center"/>
    </xf>
    <xf numFmtId="0" fontId="12" fillId="5" borderId="7" xfId="0" applyFont="1" applyFill="1" applyBorder="1" applyAlignment="1">
      <alignment vertical="center" wrapText="1"/>
    </xf>
    <xf numFmtId="10" fontId="23" fillId="5" borderId="4" xfId="0" applyNumberFormat="1" applyFont="1" applyFill="1" applyBorder="1" applyAlignment="1">
      <alignment vertical="center" wrapText="1"/>
    </xf>
    <xf numFmtId="0" fontId="7" fillId="0" borderId="0" xfId="0" applyFont="1"/>
    <xf numFmtId="0" fontId="2" fillId="0" borderId="2" xfId="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/>
    </xf>
    <xf numFmtId="167" fontId="30" fillId="6" borderId="1" xfId="8" applyNumberFormat="1" applyFont="1" applyFill="1" applyBorder="1" applyAlignment="1">
      <alignment vertical="center"/>
    </xf>
    <xf numFmtId="0" fontId="27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right" vertical="center"/>
    </xf>
    <xf numFmtId="0" fontId="30" fillId="13" borderId="1" xfId="0" applyFont="1" applyFill="1" applyBorder="1" applyAlignment="1">
      <alignment horizontal="center" vertical="center"/>
    </xf>
    <xf numFmtId="167" fontId="31" fillId="13" borderId="1" xfId="8" applyNumberFormat="1" applyFont="1" applyFill="1" applyBorder="1" applyAlignment="1">
      <alignment vertical="center"/>
    </xf>
    <xf numFmtId="0" fontId="30" fillId="6" borderId="1" xfId="0" applyFont="1" applyFill="1" applyBorder="1" applyAlignment="1">
      <alignment vertical="center"/>
    </xf>
    <xf numFmtId="0" fontId="30" fillId="6" borderId="3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vertical="center"/>
    </xf>
    <xf numFmtId="164" fontId="30" fillId="6" borderId="1" xfId="0" applyNumberFormat="1" applyFont="1" applyFill="1" applyBorder="1" applyAlignment="1">
      <alignment horizontal="center" vertical="center"/>
    </xf>
    <xf numFmtId="167" fontId="27" fillId="13" borderId="1" xfId="8" applyNumberFormat="1" applyFont="1" applyFill="1" applyBorder="1" applyAlignment="1">
      <alignment vertical="center"/>
    </xf>
    <xf numFmtId="0" fontId="30" fillId="6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right" vertical="center"/>
    </xf>
    <xf numFmtId="167" fontId="27" fillId="10" borderId="1" xfId="8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2" fontId="30" fillId="6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/>
    </xf>
    <xf numFmtId="0" fontId="33" fillId="13" borderId="1" xfId="0" applyFont="1" applyFill="1" applyBorder="1" applyAlignment="1">
      <alignment horizontal="center" vertical="center"/>
    </xf>
    <xf numFmtId="167" fontId="33" fillId="13" borderId="1" xfId="8" applyNumberFormat="1" applyFont="1" applyFill="1" applyBorder="1" applyAlignment="1">
      <alignment vertical="center"/>
    </xf>
    <xf numFmtId="167" fontId="34" fillId="13" borderId="1" xfId="8" applyNumberFormat="1" applyFont="1" applyFill="1" applyBorder="1" applyAlignment="1">
      <alignment vertical="center"/>
    </xf>
    <xf numFmtId="0" fontId="35" fillId="14" borderId="1" xfId="0" applyFont="1" applyFill="1" applyBorder="1" applyAlignment="1">
      <alignment vertical="center"/>
    </xf>
    <xf numFmtId="167" fontId="34" fillId="14" borderId="7" xfId="8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7" fillId="8" borderId="11" xfId="0" applyFont="1" applyFill="1" applyBorder="1" applyAlignment="1">
      <alignment vertical="center"/>
    </xf>
    <xf numFmtId="0" fontId="37" fillId="8" borderId="12" xfId="0" applyFont="1" applyFill="1" applyBorder="1" applyAlignment="1">
      <alignment horizontal="center" vertical="center"/>
    </xf>
    <xf numFmtId="2" fontId="37" fillId="8" borderId="12" xfId="0" applyNumberFormat="1" applyFont="1" applyFill="1" applyBorder="1" applyAlignment="1">
      <alignment horizontal="center" vertical="center"/>
    </xf>
    <xf numFmtId="165" fontId="37" fillId="8" borderId="10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0" fontId="15" fillId="2" borderId="22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>
      <alignment vertical="center"/>
    </xf>
    <xf numFmtId="49" fontId="2" fillId="0" borderId="2" xfId="3" applyNumberFormat="1" applyFont="1" applyBorder="1" applyAlignment="1">
      <alignment horizontal="left" vertical="center"/>
    </xf>
    <xf numFmtId="49" fontId="2" fillId="0" borderId="3" xfId="3" applyNumberFormat="1" applyFont="1" applyBorder="1" applyAlignment="1">
      <alignment horizontal="center" vertical="center"/>
    </xf>
    <xf numFmtId="3" fontId="2" fillId="0" borderId="1" xfId="3" applyNumberFormat="1" applyFont="1" applyBorder="1" applyAlignment="1">
      <alignment horizontal="right" vertical="center"/>
    </xf>
    <xf numFmtId="3" fontId="2" fillId="0" borderId="1" xfId="3" applyNumberFormat="1" applyFont="1" applyBorder="1" applyAlignment="1" applyProtection="1">
      <alignment horizontal="center" vertical="center"/>
      <protection locked="0"/>
    </xf>
    <xf numFmtId="0" fontId="17" fillId="4" borderId="2" xfId="3" applyFont="1" applyFill="1" applyBorder="1" applyAlignment="1">
      <alignment horizontal="center" vertical="center"/>
    </xf>
    <xf numFmtId="0" fontId="17" fillId="4" borderId="3" xfId="3" applyFont="1" applyFill="1" applyBorder="1" applyAlignment="1">
      <alignment horizontal="left" vertical="center"/>
    </xf>
    <xf numFmtId="3" fontId="2" fillId="4" borderId="1" xfId="3" applyNumberFormat="1" applyFont="1" applyFill="1" applyBorder="1" applyAlignment="1">
      <alignment horizontal="right" vertical="center"/>
    </xf>
    <xf numFmtId="3" fontId="2" fillId="4" borderId="1" xfId="3" applyNumberFormat="1" applyFont="1" applyFill="1" applyBorder="1" applyAlignment="1">
      <alignment horizontal="center" vertical="center"/>
    </xf>
    <xf numFmtId="3" fontId="2" fillId="4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Font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0" fontId="2" fillId="9" borderId="2" xfId="3" applyFont="1" applyFill="1" applyBorder="1" applyAlignment="1">
      <alignment horizontal="left" vertical="center"/>
    </xf>
    <xf numFmtId="0" fontId="18" fillId="9" borderId="3" xfId="3" applyFont="1" applyFill="1" applyBorder="1" applyAlignment="1">
      <alignment horizontal="center" vertical="center"/>
    </xf>
    <xf numFmtId="0" fontId="2" fillId="9" borderId="1" xfId="3" applyFont="1" applyFill="1" applyBorder="1" applyAlignment="1">
      <alignment horizontal="center" vertical="center"/>
    </xf>
    <xf numFmtId="3" fontId="2" fillId="9" borderId="1" xfId="3" applyNumberFormat="1" applyFont="1" applyFill="1" applyBorder="1" applyAlignment="1" applyProtection="1">
      <alignment horizontal="center" vertical="center"/>
      <protection locked="0"/>
    </xf>
    <xf numFmtId="0" fontId="2" fillId="12" borderId="0" xfId="3" applyFont="1" applyFill="1" applyAlignment="1">
      <alignment vertical="center"/>
    </xf>
    <xf numFmtId="0" fontId="17" fillId="5" borderId="3" xfId="3" applyFont="1" applyFill="1" applyBorder="1" applyAlignment="1">
      <alignment horizontal="right" vertical="center"/>
    </xf>
    <xf numFmtId="3" fontId="2" fillId="5" borderId="1" xfId="3" applyNumberFormat="1" applyFont="1" applyFill="1" applyBorder="1" applyAlignment="1">
      <alignment horizontal="right" vertical="center"/>
    </xf>
    <xf numFmtId="3" fontId="2" fillId="5" borderId="1" xfId="3" applyNumberFormat="1" applyFont="1" applyFill="1" applyBorder="1" applyAlignment="1">
      <alignment horizontal="center" vertical="center"/>
    </xf>
    <xf numFmtId="3" fontId="2" fillId="5" borderId="1" xfId="3" applyNumberFormat="1" applyFont="1" applyFill="1" applyBorder="1" applyAlignment="1" applyProtection="1">
      <alignment horizontal="center" vertical="center"/>
      <protection locked="0"/>
    </xf>
    <xf numFmtId="3" fontId="2" fillId="0" borderId="1" xfId="3" applyNumberFormat="1" applyFont="1" applyBorder="1" applyAlignment="1" applyProtection="1">
      <alignment horizontal="center" vertical="center" wrapText="1"/>
      <protection locked="0"/>
    </xf>
    <xf numFmtId="0" fontId="17" fillId="6" borderId="3" xfId="3" applyFont="1" applyFill="1" applyBorder="1" applyAlignment="1">
      <alignment vertical="center"/>
    </xf>
    <xf numFmtId="0" fontId="20" fillId="0" borderId="3" xfId="3" applyFont="1" applyBorder="1" applyAlignment="1">
      <alignment vertical="center"/>
    </xf>
    <xf numFmtId="49" fontId="2" fillId="0" borderId="3" xfId="3" applyNumberFormat="1" applyFont="1" applyBorder="1" applyAlignment="1">
      <alignment vertical="center"/>
    </xf>
    <xf numFmtId="0" fontId="17" fillId="0" borderId="1" xfId="3" applyFont="1" applyBorder="1" applyAlignment="1">
      <alignment horizontal="center" vertical="center"/>
    </xf>
    <xf numFmtId="0" fontId="18" fillId="0" borderId="3" xfId="3" applyFont="1" applyBorder="1" applyAlignment="1">
      <alignment vertical="center"/>
    </xf>
    <xf numFmtId="0" fontId="18" fillId="9" borderId="3" xfId="3" applyFont="1" applyFill="1" applyBorder="1" applyAlignment="1">
      <alignment horizontal="center" vertical="center" wrapText="1"/>
    </xf>
    <xf numFmtId="3" fontId="2" fillId="9" borderId="1" xfId="3" applyNumberFormat="1" applyFont="1" applyFill="1" applyBorder="1" applyAlignment="1">
      <alignment horizontal="right" vertical="center"/>
    </xf>
    <xf numFmtId="3" fontId="2" fillId="9" borderId="1" xfId="3" applyNumberFormat="1" applyFont="1" applyFill="1" applyBorder="1" applyAlignment="1">
      <alignment horizontal="center" vertical="center"/>
    </xf>
    <xf numFmtId="0" fontId="17" fillId="0" borderId="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left" vertical="center"/>
    </xf>
    <xf numFmtId="0" fontId="17" fillId="0" borderId="3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17" fillId="0" borderId="3" xfId="3" applyFont="1" applyBorder="1" applyAlignment="1">
      <alignment horizontal="left" vertical="center"/>
    </xf>
    <xf numFmtId="49" fontId="17" fillId="0" borderId="3" xfId="3" applyNumberFormat="1" applyFont="1" applyBorder="1" applyAlignment="1">
      <alignment horizontal="center" vertical="center"/>
    </xf>
    <xf numFmtId="0" fontId="2" fillId="0" borderId="3" xfId="3" applyFont="1" applyBorder="1" applyAlignment="1">
      <alignment vertical="center" wrapText="1"/>
    </xf>
    <xf numFmtId="49" fontId="2" fillId="6" borderId="2" xfId="3" applyNumberFormat="1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right" vertical="center" wrapText="1"/>
    </xf>
    <xf numFmtId="0" fontId="17" fillId="6" borderId="1" xfId="3" applyFont="1" applyFill="1" applyBorder="1" applyAlignment="1">
      <alignment vertical="center" wrapText="1"/>
    </xf>
    <xf numFmtId="3" fontId="2" fillId="6" borderId="1" xfId="3" applyNumberFormat="1" applyFont="1" applyFill="1" applyBorder="1" applyAlignment="1">
      <alignment horizontal="center" vertical="center"/>
    </xf>
    <xf numFmtId="3" fontId="2" fillId="6" borderId="1" xfId="3" applyNumberFormat="1" applyFont="1" applyFill="1" applyBorder="1" applyAlignment="1" applyProtection="1">
      <alignment horizontal="center" vertical="center"/>
      <protection locked="0"/>
    </xf>
    <xf numFmtId="0" fontId="2" fillId="6" borderId="0" xfId="3" applyFont="1" applyFill="1" applyAlignment="1">
      <alignment vertical="center"/>
    </xf>
    <xf numFmtId="49" fontId="2" fillId="0" borderId="2" xfId="3" applyNumberFormat="1" applyFont="1" applyBorder="1" applyAlignment="1">
      <alignment vertical="center"/>
    </xf>
    <xf numFmtId="49" fontId="2" fillId="0" borderId="1" xfId="3" applyNumberFormat="1" applyFont="1" applyBorder="1" applyAlignment="1">
      <alignment vertical="center"/>
    </xf>
    <xf numFmtId="49" fontId="2" fillId="0" borderId="1" xfId="3" applyNumberFormat="1" applyFont="1" applyBorder="1" applyAlignment="1" applyProtection="1">
      <alignment vertical="center"/>
      <protection locked="0"/>
    </xf>
    <xf numFmtId="0" fontId="18" fillId="8" borderId="1" xfId="3" applyFont="1" applyFill="1" applyBorder="1" applyAlignment="1">
      <alignment vertical="center" wrapText="1"/>
    </xf>
    <xf numFmtId="0" fontId="18" fillId="8" borderId="1" xfId="3" applyFont="1" applyFill="1" applyBorder="1" applyAlignment="1" applyProtection="1">
      <alignment vertical="center" wrapText="1"/>
      <protection locked="0"/>
    </xf>
    <xf numFmtId="3" fontId="19" fillId="8" borderId="1" xfId="3" applyNumberFormat="1" applyFont="1" applyFill="1" applyBorder="1" applyAlignment="1">
      <alignment horizontal="center" vertical="center"/>
    </xf>
    <xf numFmtId="0" fontId="3" fillId="0" borderId="0" xfId="3" applyAlignment="1">
      <alignment vertical="center"/>
    </xf>
    <xf numFmtId="0" fontId="3" fillId="0" borderId="0" xfId="3" applyAlignment="1" applyProtection="1">
      <alignment vertical="center"/>
      <protection locked="0"/>
    </xf>
    <xf numFmtId="0" fontId="40" fillId="0" borderId="0" xfId="3" applyFont="1" applyAlignment="1">
      <alignment vertical="center"/>
    </xf>
    <xf numFmtId="0" fontId="5" fillId="8" borderId="11" xfId="3" applyFont="1" applyFill="1" applyBorder="1" applyAlignment="1">
      <alignment vertical="center"/>
    </xf>
    <xf numFmtId="0" fontId="6" fillId="8" borderId="12" xfId="3" applyFont="1" applyFill="1" applyBorder="1" applyAlignment="1">
      <alignment horizontal="center" vertical="center"/>
    </xf>
    <xf numFmtId="0" fontId="5" fillId="8" borderId="12" xfId="3" applyFont="1" applyFill="1" applyBorder="1" applyAlignment="1">
      <alignment horizontal="center" vertical="center"/>
    </xf>
    <xf numFmtId="0" fontId="6" fillId="8" borderId="12" xfId="3" applyFont="1" applyFill="1" applyBorder="1" applyAlignment="1" applyProtection="1">
      <alignment horizontal="center" vertical="center"/>
      <protection locked="0"/>
    </xf>
    <xf numFmtId="168" fontId="37" fillId="8" borderId="10" xfId="9" applyNumberFormat="1" applyFont="1" applyFill="1" applyBorder="1" applyAlignment="1" applyProtection="1">
      <alignment horizontal="center" vertical="center"/>
    </xf>
    <xf numFmtId="0" fontId="1" fillId="0" borderId="0" xfId="3" applyFont="1" applyAlignment="1">
      <alignment vertical="center"/>
    </xf>
    <xf numFmtId="49" fontId="2" fillId="0" borderId="0" xfId="3" applyNumberFormat="1" applyFont="1" applyAlignment="1">
      <alignment horizontal="left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 applyProtection="1">
      <alignment horizontal="center" vertical="center"/>
      <protection locked="0"/>
    </xf>
    <xf numFmtId="0" fontId="38" fillId="0" borderId="0" xfId="3" applyFont="1" applyAlignment="1">
      <alignment horizontal="center" vertical="center"/>
    </xf>
    <xf numFmtId="2" fontId="6" fillId="8" borderId="12" xfId="3" applyNumberFormat="1" applyFont="1" applyFill="1" applyBorder="1" applyAlignment="1">
      <alignment horizontal="center" vertical="center"/>
    </xf>
    <xf numFmtId="165" fontId="37" fillId="8" borderId="10" xfId="9" applyNumberFormat="1" applyFont="1" applyFill="1" applyBorder="1" applyAlignment="1" applyProtection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49" fontId="41" fillId="2" borderId="9" xfId="0" applyNumberFormat="1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4" fontId="41" fillId="2" borderId="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10" fillId="4" borderId="1" xfId="0" applyNumberFormat="1" applyFont="1" applyFill="1" applyBorder="1" applyAlignment="1" applyProtection="1">
      <alignment horizontal="right"/>
      <protection locked="0"/>
    </xf>
    <xf numFmtId="3" fontId="10" fillId="6" borderId="1" xfId="0" applyNumberFormat="1" applyFont="1" applyFill="1" applyBorder="1" applyAlignment="1" applyProtection="1">
      <alignment vertical="center" wrapText="1"/>
      <protection locked="0"/>
    </xf>
    <xf numFmtId="3" fontId="10" fillId="5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3" fontId="10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Protection="1">
      <protection locked="0"/>
    </xf>
    <xf numFmtId="3" fontId="10" fillId="6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vertical="center" wrapText="1"/>
      <protection locked="0"/>
    </xf>
    <xf numFmtId="0" fontId="30" fillId="6" borderId="1" xfId="0" applyFont="1" applyFill="1" applyBorder="1" applyAlignment="1" applyProtection="1">
      <alignment horizontal="center" vertical="center"/>
      <protection locked="0"/>
    </xf>
    <xf numFmtId="0" fontId="30" fillId="13" borderId="1" xfId="0" applyFont="1" applyFill="1" applyBorder="1" applyAlignment="1" applyProtection="1">
      <alignment horizontal="center" vertical="center"/>
      <protection locked="0"/>
    </xf>
    <xf numFmtId="0" fontId="30" fillId="6" borderId="1" xfId="0" applyFont="1" applyFill="1" applyBorder="1" applyAlignment="1" applyProtection="1">
      <alignment vertical="center"/>
      <protection locked="0"/>
    </xf>
    <xf numFmtId="167" fontId="30" fillId="6" borderId="7" xfId="8" applyNumberFormat="1" applyFont="1" applyFill="1" applyBorder="1" applyAlignment="1" applyProtection="1">
      <alignment vertical="center"/>
      <protection locked="0"/>
    </xf>
    <xf numFmtId="167" fontId="30" fillId="6" borderId="1" xfId="8" applyNumberFormat="1" applyFont="1" applyFill="1" applyBorder="1" applyAlignment="1" applyProtection="1">
      <alignment vertical="center"/>
      <protection locked="0"/>
    </xf>
    <xf numFmtId="167" fontId="30" fillId="13" borderId="1" xfId="8" applyNumberFormat="1" applyFont="1" applyFill="1" applyBorder="1" applyAlignment="1" applyProtection="1">
      <alignment vertical="center"/>
      <protection locked="0"/>
    </xf>
    <xf numFmtId="167" fontId="30" fillId="10" borderId="1" xfId="8" applyNumberFormat="1" applyFont="1" applyFill="1" applyBorder="1" applyAlignment="1" applyProtection="1">
      <alignment vertical="center"/>
      <protection locked="0"/>
    </xf>
    <xf numFmtId="10" fontId="42" fillId="8" borderId="10" xfId="0" applyNumberFormat="1" applyFont="1" applyFill="1" applyBorder="1" applyAlignment="1">
      <alignment horizontal="center" vertical="center"/>
    </xf>
    <xf numFmtId="10" fontId="43" fillId="8" borderId="10" xfId="3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0" fillId="0" borderId="3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24" fillId="11" borderId="3" xfId="0" applyNumberFormat="1" applyFont="1" applyFill="1" applyBorder="1" applyAlignment="1">
      <alignment horizontal="center" vertical="center"/>
    </xf>
    <xf numFmtId="49" fontId="24" fillId="11" borderId="4" xfId="0" applyNumberFormat="1" applyFont="1" applyFill="1" applyBorder="1" applyAlignment="1">
      <alignment horizontal="center" vertical="center"/>
    </xf>
    <xf numFmtId="49" fontId="24" fillId="11" borderId="7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34" fillId="14" borderId="3" xfId="0" applyFont="1" applyFill="1" applyBorder="1" applyAlignment="1">
      <alignment horizontal="center" vertical="center"/>
    </xf>
    <xf numFmtId="0" fontId="34" fillId="14" borderId="4" xfId="0" applyFont="1" applyFill="1" applyBorder="1" applyAlignment="1">
      <alignment horizontal="center" vertical="center"/>
    </xf>
    <xf numFmtId="0" fontId="34" fillId="14" borderId="7" xfId="0" applyFont="1" applyFill="1" applyBorder="1" applyAlignment="1">
      <alignment horizontal="center" vertical="center"/>
    </xf>
    <xf numFmtId="49" fontId="39" fillId="7" borderId="3" xfId="3" applyNumberFormat="1" applyFont="1" applyFill="1" applyBorder="1" applyAlignment="1">
      <alignment horizontal="center" vertical="center" wrapText="1"/>
    </xf>
    <xf numFmtId="49" fontId="39" fillId="7" borderId="4" xfId="3" applyNumberFormat="1" applyFont="1" applyFill="1" applyBorder="1" applyAlignment="1">
      <alignment horizontal="center" vertical="center" wrapText="1"/>
    </xf>
    <xf numFmtId="49" fontId="39" fillId="7" borderId="7" xfId="3" applyNumberFormat="1" applyFont="1" applyFill="1" applyBorder="1" applyAlignment="1">
      <alignment horizontal="center" vertical="center" wrapText="1"/>
    </xf>
    <xf numFmtId="0" fontId="18" fillId="8" borderId="8" xfId="3" applyFont="1" applyFill="1" applyBorder="1" applyAlignment="1">
      <alignment horizontal="center" vertical="center" wrapText="1"/>
    </xf>
    <xf numFmtId="0" fontId="18" fillId="8" borderId="4" xfId="3" applyFont="1" applyFill="1" applyBorder="1" applyAlignment="1">
      <alignment horizontal="center" vertical="center" wrapText="1"/>
    </xf>
    <xf numFmtId="0" fontId="18" fillId="8" borderId="7" xfId="3" applyFont="1" applyFill="1" applyBorder="1" applyAlignment="1">
      <alignment horizontal="center" vertical="center" wrapText="1"/>
    </xf>
    <xf numFmtId="49" fontId="6" fillId="11" borderId="14" xfId="0" applyNumberFormat="1" applyFont="1" applyFill="1" applyBorder="1" applyAlignment="1">
      <alignment horizontal="center" vertical="center"/>
    </xf>
    <xf numFmtId="49" fontId="6" fillId="11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0">
    <cellStyle name="Milliers" xfId="2" builtinId="3"/>
    <cellStyle name="Milliers 2" xfId="4" xr:uid="{648974AF-A814-4527-91AA-7D813ABDF06E}"/>
    <cellStyle name="Milliers 2 2" xfId="9" xr:uid="{CC25F827-8BF9-4D0C-AF78-47E43260FCB9}"/>
    <cellStyle name="Milliers 3" xfId="7" xr:uid="{ED699584-654A-48B4-AE6C-A009A9783F1D}"/>
    <cellStyle name="Milliers 3 2" xfId="8" xr:uid="{3CE541A8-76BC-4A7E-85AB-FD36EF31857B}"/>
    <cellStyle name="Normal" xfId="0" builtinId="0"/>
    <cellStyle name="Normal 2" xfId="1" xr:uid="{00000000-0005-0000-0000-000001000000}"/>
    <cellStyle name="Normal 3" xfId="3" xr:uid="{CBD1F6BD-AC68-49B0-90C7-33BA901D2C8D}"/>
    <cellStyle name="Normal 4" xfId="5" xr:uid="{348FDBAB-B8DD-4F53-BCA2-97BE812E9A3C}"/>
    <cellStyle name="Pourcentage 2" xfId="6" xr:uid="{2858F958-7E18-4ADA-8926-E7B03302AAAA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1836420</xdr:colOff>
      <xdr:row>0</xdr:row>
      <xdr:rowOff>198120</xdr:rowOff>
    </xdr:from>
    <xdr:to>
      <xdr:col>2</xdr:col>
      <xdr:colOff>92075</xdr:colOff>
      <xdr:row>0</xdr:row>
      <xdr:rowOff>998220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842D3BA1-C30C-C287-E8F8-87052B5A0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98120"/>
          <a:ext cx="191325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3918858</xdr:colOff>
      <xdr:row>1</xdr:row>
      <xdr:rowOff>10886</xdr:rowOff>
    </xdr:from>
    <xdr:to>
      <xdr:col>1</xdr:col>
      <xdr:colOff>5832113</xdr:colOff>
      <xdr:row>2</xdr:row>
      <xdr:rowOff>310243</xdr:rowOff>
    </xdr:to>
    <xdr:pic>
      <xdr:nvPicPr>
        <xdr:cNvPr id="3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06700E0A-99B3-4E81-8657-D3882D85B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5172" y="326572"/>
          <a:ext cx="1913255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2421467</xdr:colOff>
      <xdr:row>0</xdr:row>
      <xdr:rowOff>118533</xdr:rowOff>
    </xdr:from>
    <xdr:to>
      <xdr:col>2</xdr:col>
      <xdr:colOff>135256</xdr:colOff>
      <xdr:row>4</xdr:row>
      <xdr:rowOff>173566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7A6FCBF5-E4F1-4C5D-9551-5D3480B7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4" y="118533"/>
          <a:ext cx="1913255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2091267</xdr:colOff>
      <xdr:row>0</xdr:row>
      <xdr:rowOff>245533</xdr:rowOff>
    </xdr:from>
    <xdr:to>
      <xdr:col>0</xdr:col>
      <xdr:colOff>4004522</xdr:colOff>
      <xdr:row>0</xdr:row>
      <xdr:rowOff>1045633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8DAA4824-500E-F9D6-B975-45E2A9BEA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267" y="245533"/>
          <a:ext cx="191325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7E4D-DFA7-4AA5-9155-7C3DC94051FB}">
  <dimension ref="A1:F134"/>
  <sheetViews>
    <sheetView view="pageBreakPreview" topLeftCell="A73" zoomScale="90" zoomScaleNormal="100" zoomScaleSheetLayoutView="90" workbookViewId="0">
      <selection activeCell="J83" sqref="J83"/>
    </sheetView>
  </sheetViews>
  <sheetFormatPr baseColWidth="10" defaultRowHeight="14.4"/>
  <cols>
    <col min="2" max="2" width="53.33203125" customWidth="1"/>
    <col min="3" max="3" width="8.88671875" customWidth="1"/>
  </cols>
  <sheetData>
    <row r="1" spans="1:6" ht="89.4" customHeight="1">
      <c r="A1" s="255"/>
      <c r="B1" s="255"/>
      <c r="C1" s="255"/>
      <c r="D1" s="255"/>
      <c r="E1" s="255"/>
      <c r="F1" s="255"/>
    </row>
    <row r="2" spans="1:6">
      <c r="D2" s="95"/>
    </row>
    <row r="3" spans="1:6" s="111" customFormat="1" ht="17.25" customHeight="1">
      <c r="A3" s="258" t="s">
        <v>273</v>
      </c>
      <c r="B3" s="259"/>
      <c r="C3" s="259"/>
      <c r="D3" s="259"/>
      <c r="E3" s="259"/>
      <c r="F3" s="260"/>
    </row>
    <row r="4" spans="1:6" s="3" customFormat="1" ht="12.75" customHeight="1" thickBot="1">
      <c r="A4" s="20"/>
      <c r="B4" s="20"/>
      <c r="C4" s="21"/>
      <c r="D4" s="22"/>
      <c r="E4" s="21"/>
      <c r="F4" s="21"/>
    </row>
    <row r="5" spans="1:6" s="3" customFormat="1" ht="44.4" customHeight="1" thickTop="1">
      <c r="A5" s="224" t="s">
        <v>12</v>
      </c>
      <c r="B5" s="225" t="s">
        <v>8</v>
      </c>
      <c r="C5" s="226" t="s">
        <v>0</v>
      </c>
      <c r="D5" s="227" t="s">
        <v>2</v>
      </c>
      <c r="E5" s="226" t="s">
        <v>3</v>
      </c>
      <c r="F5" s="226" t="s">
        <v>1</v>
      </c>
    </row>
    <row r="6" spans="1:6" s="3" customFormat="1" ht="15.6">
      <c r="A6" s="23"/>
      <c r="B6" s="24"/>
      <c r="C6" s="25"/>
      <c r="D6" s="26"/>
      <c r="E6" s="228"/>
      <c r="F6" s="25"/>
    </row>
    <row r="7" spans="1:6" s="3" customFormat="1" ht="18" customHeight="1">
      <c r="A7" s="27" t="s">
        <v>13</v>
      </c>
      <c r="B7" s="28" t="s">
        <v>107</v>
      </c>
      <c r="C7" s="29"/>
      <c r="D7" s="30"/>
      <c r="E7" s="229"/>
      <c r="F7" s="29"/>
    </row>
    <row r="8" spans="1:6" s="4" customFormat="1" ht="18" customHeight="1">
      <c r="A8" s="31" t="s">
        <v>65</v>
      </c>
      <c r="B8" s="32" t="s">
        <v>265</v>
      </c>
      <c r="C8" s="33" t="s">
        <v>109</v>
      </c>
      <c r="D8" s="34">
        <v>1</v>
      </c>
      <c r="E8" s="230"/>
      <c r="F8" s="35">
        <f>D8*E8</f>
        <v>0</v>
      </c>
    </row>
    <row r="9" spans="1:6" s="4" customFormat="1" ht="18" customHeight="1">
      <c r="A9" s="31" t="s">
        <v>5</v>
      </c>
      <c r="B9" s="32" t="s">
        <v>106</v>
      </c>
      <c r="C9" s="33" t="s">
        <v>109</v>
      </c>
      <c r="D9" s="34">
        <v>1</v>
      </c>
      <c r="E9" s="230"/>
      <c r="F9" s="35">
        <f>D9*E9</f>
        <v>0</v>
      </c>
    </row>
    <row r="10" spans="1:6" s="4" customFormat="1" ht="18" customHeight="1">
      <c r="A10" s="31" t="s">
        <v>66</v>
      </c>
      <c r="B10" s="32" t="s">
        <v>108</v>
      </c>
      <c r="C10" s="33" t="s">
        <v>109</v>
      </c>
      <c r="D10" s="34">
        <v>1</v>
      </c>
      <c r="E10" s="230"/>
      <c r="F10" s="35">
        <f>D10*E10</f>
        <v>0</v>
      </c>
    </row>
    <row r="11" spans="1:6" s="3" customFormat="1" ht="15.6">
      <c r="A11" s="23"/>
      <c r="B11" s="36" t="s">
        <v>110</v>
      </c>
      <c r="C11" s="37"/>
      <c r="D11" s="38"/>
      <c r="E11" s="231"/>
      <c r="F11" s="40">
        <f>SUM(F8:F10)</f>
        <v>0</v>
      </c>
    </row>
    <row r="12" spans="1:6" s="3" customFormat="1" ht="15.6">
      <c r="A12" s="23"/>
      <c r="B12" s="24"/>
      <c r="C12" s="25"/>
      <c r="D12" s="41"/>
      <c r="E12" s="232"/>
      <c r="F12" s="42"/>
    </row>
    <row r="13" spans="1:6" s="3" customFormat="1" ht="15.6">
      <c r="A13" s="27" t="s">
        <v>14</v>
      </c>
      <c r="B13" s="28" t="s">
        <v>15</v>
      </c>
      <c r="C13" s="29"/>
      <c r="D13" s="30"/>
      <c r="E13" s="229"/>
      <c r="F13" s="29"/>
    </row>
    <row r="14" spans="1:6" s="3" customFormat="1" ht="17.25" customHeight="1">
      <c r="A14" s="43">
        <v>2</v>
      </c>
      <c r="B14" s="44" t="s">
        <v>111</v>
      </c>
      <c r="C14" s="45"/>
      <c r="D14" s="46"/>
      <c r="E14" s="233"/>
      <c r="F14" s="42"/>
    </row>
    <row r="15" spans="1:6" s="4" customFormat="1" ht="17.25" customHeight="1">
      <c r="A15" s="31" t="s">
        <v>71</v>
      </c>
      <c r="B15" s="47" t="s">
        <v>271</v>
      </c>
      <c r="C15" s="48" t="s">
        <v>211</v>
      </c>
      <c r="D15" s="49">
        <f>49.75*0.85*0.6</f>
        <v>25.372499999999999</v>
      </c>
      <c r="E15" s="234"/>
      <c r="F15" s="35">
        <f>D15*E15</f>
        <v>0</v>
      </c>
    </row>
    <row r="16" spans="1:6" s="4" customFormat="1" ht="17.25" customHeight="1">
      <c r="A16" s="31" t="s">
        <v>72</v>
      </c>
      <c r="B16" s="47" t="s">
        <v>112</v>
      </c>
      <c r="C16" s="48" t="s">
        <v>211</v>
      </c>
      <c r="D16" s="49">
        <f>49.75*0.45*0.4</f>
        <v>8.9550000000000001</v>
      </c>
      <c r="E16" s="234"/>
      <c r="F16" s="35">
        <f>D16*E16</f>
        <v>0</v>
      </c>
    </row>
    <row r="17" spans="1:6" s="4" customFormat="1" ht="17.25" customHeight="1">
      <c r="A17" s="31" t="s">
        <v>73</v>
      </c>
      <c r="B17" s="47" t="s">
        <v>113</v>
      </c>
      <c r="C17" s="48" t="s">
        <v>211</v>
      </c>
      <c r="D17" s="49">
        <f>12*7.45*0.75</f>
        <v>67.050000000000011</v>
      </c>
      <c r="E17" s="234"/>
      <c r="F17" s="35">
        <f>D17*E17</f>
        <v>0</v>
      </c>
    </row>
    <row r="18" spans="1:6" s="3" customFormat="1" ht="15.6">
      <c r="A18" s="50"/>
      <c r="B18" s="51" t="s">
        <v>114</v>
      </c>
      <c r="C18" s="52"/>
      <c r="D18" s="53"/>
      <c r="E18" s="235"/>
      <c r="F18" s="54">
        <f>SUM(F15:F17)</f>
        <v>0</v>
      </c>
    </row>
    <row r="19" spans="1:6" s="3" customFormat="1" ht="15.6">
      <c r="A19" s="50"/>
      <c r="B19" s="55"/>
      <c r="C19" s="25"/>
      <c r="D19" s="41"/>
      <c r="E19" s="232"/>
      <c r="F19" s="42"/>
    </row>
    <row r="20" spans="1:6" s="3" customFormat="1" ht="17.25" customHeight="1">
      <c r="A20" s="43" t="s">
        <v>16</v>
      </c>
      <c r="B20" s="44" t="s">
        <v>115</v>
      </c>
      <c r="C20" s="45"/>
      <c r="D20" s="46"/>
      <c r="E20" s="233"/>
      <c r="F20" s="42"/>
    </row>
    <row r="21" spans="1:6" s="3" customFormat="1" ht="17.25" customHeight="1">
      <c r="A21" s="56" t="s">
        <v>17</v>
      </c>
      <c r="B21" s="57" t="s">
        <v>19</v>
      </c>
      <c r="C21" s="45"/>
      <c r="D21" s="26"/>
      <c r="E21" s="233"/>
      <c r="F21" s="42"/>
    </row>
    <row r="22" spans="1:6" s="4" customFormat="1" ht="17.25" customHeight="1">
      <c r="A22" s="31" t="s">
        <v>75</v>
      </c>
      <c r="B22" s="32" t="s">
        <v>116</v>
      </c>
      <c r="C22" s="33"/>
      <c r="D22" s="49"/>
      <c r="E22" s="234"/>
      <c r="F22" s="35"/>
    </row>
    <row r="23" spans="1:6" s="4" customFormat="1" ht="17.25" customHeight="1">
      <c r="A23" s="31" t="s">
        <v>117</v>
      </c>
      <c r="B23" s="32" t="s">
        <v>20</v>
      </c>
      <c r="C23" s="33" t="s">
        <v>10</v>
      </c>
      <c r="D23" s="49">
        <f>49.75*0.6*0.2</f>
        <v>5.97</v>
      </c>
      <c r="E23" s="234"/>
      <c r="F23" s="35">
        <f t="shared" ref="F23:F35" si="0">D23*E23</f>
        <v>0</v>
      </c>
    </row>
    <row r="24" spans="1:6" s="4" customFormat="1" ht="17.25" customHeight="1">
      <c r="A24" s="31" t="s">
        <v>118</v>
      </c>
      <c r="B24" s="32" t="s">
        <v>272</v>
      </c>
      <c r="C24" s="33" t="s">
        <v>23</v>
      </c>
      <c r="D24" s="49">
        <f>D23*80</f>
        <v>477.59999999999997</v>
      </c>
      <c r="E24" s="234"/>
      <c r="F24" s="35">
        <f t="shared" si="0"/>
        <v>0</v>
      </c>
    </row>
    <row r="25" spans="1:6" s="4" customFormat="1" ht="17.25" customHeight="1">
      <c r="A25" s="31" t="s">
        <v>76</v>
      </c>
      <c r="B25" s="32" t="s">
        <v>119</v>
      </c>
      <c r="C25" s="33"/>
      <c r="D25" s="49"/>
      <c r="E25" s="234"/>
      <c r="F25" s="35"/>
    </row>
    <row r="26" spans="1:6" s="4" customFormat="1" ht="17.25" customHeight="1">
      <c r="A26" s="31" t="s">
        <v>120</v>
      </c>
      <c r="B26" s="32" t="s">
        <v>20</v>
      </c>
      <c r="C26" s="33" t="s">
        <v>10</v>
      </c>
      <c r="D26" s="49">
        <f>11*0.15*0.15*0.8</f>
        <v>0.19799999999999998</v>
      </c>
      <c r="E26" s="234"/>
      <c r="F26" s="35">
        <f t="shared" si="0"/>
        <v>0</v>
      </c>
    </row>
    <row r="27" spans="1:6" s="4" customFormat="1" ht="17.25" customHeight="1">
      <c r="A27" s="31" t="s">
        <v>118</v>
      </c>
      <c r="B27" s="32" t="s">
        <v>272</v>
      </c>
      <c r="C27" s="33" t="s">
        <v>23</v>
      </c>
      <c r="D27" s="49">
        <f>D26*80</f>
        <v>15.839999999999998</v>
      </c>
      <c r="E27" s="234"/>
      <c r="F27" s="35">
        <f t="shared" si="0"/>
        <v>0</v>
      </c>
    </row>
    <row r="28" spans="1:6" s="4" customFormat="1" ht="17.25" customHeight="1">
      <c r="A28" s="31" t="s">
        <v>121</v>
      </c>
      <c r="B28" s="32" t="s">
        <v>21</v>
      </c>
      <c r="C28" s="33" t="s">
        <v>4</v>
      </c>
      <c r="D28" s="49">
        <f>D26*12</f>
        <v>2.3759999999999999</v>
      </c>
      <c r="E28" s="234"/>
      <c r="F28" s="35">
        <f t="shared" si="0"/>
        <v>0</v>
      </c>
    </row>
    <row r="29" spans="1:6" s="4" customFormat="1" ht="17.25" customHeight="1">
      <c r="A29" s="31" t="s">
        <v>77</v>
      </c>
      <c r="B29" s="32" t="s">
        <v>122</v>
      </c>
      <c r="C29" s="33"/>
      <c r="D29" s="49"/>
      <c r="E29" s="234"/>
      <c r="F29" s="35"/>
    </row>
    <row r="30" spans="1:6" s="4" customFormat="1" ht="17.25" customHeight="1">
      <c r="A30" s="31" t="s">
        <v>123</v>
      </c>
      <c r="B30" s="32" t="s">
        <v>20</v>
      </c>
      <c r="C30" s="33" t="s">
        <v>10</v>
      </c>
      <c r="D30" s="49">
        <f>49.75*0.2*0.15</f>
        <v>1.4925000000000002</v>
      </c>
      <c r="E30" s="234"/>
      <c r="F30" s="35">
        <f t="shared" si="0"/>
        <v>0</v>
      </c>
    </row>
    <row r="31" spans="1:6" s="4" customFormat="1" ht="17.25" customHeight="1">
      <c r="A31" s="31" t="s">
        <v>124</v>
      </c>
      <c r="B31" s="32" t="s">
        <v>272</v>
      </c>
      <c r="C31" s="33" t="s">
        <v>23</v>
      </c>
      <c r="D31" s="49">
        <f>D30*80</f>
        <v>119.4</v>
      </c>
      <c r="E31" s="234"/>
      <c r="F31" s="35">
        <f t="shared" si="0"/>
        <v>0</v>
      </c>
    </row>
    <row r="32" spans="1:6" s="4" customFormat="1" ht="17.25" customHeight="1">
      <c r="A32" s="31" t="s">
        <v>125</v>
      </c>
      <c r="B32" s="32" t="s">
        <v>21</v>
      </c>
      <c r="C32" s="33" t="s">
        <v>4</v>
      </c>
      <c r="D32" s="49">
        <f>D30*12</f>
        <v>17.910000000000004</v>
      </c>
      <c r="E32" s="234"/>
      <c r="F32" s="35">
        <f t="shared" si="0"/>
        <v>0</v>
      </c>
    </row>
    <row r="33" spans="1:6" s="4" customFormat="1" ht="17.25" customHeight="1">
      <c r="A33" s="31" t="s">
        <v>78</v>
      </c>
      <c r="B33" s="32" t="s">
        <v>126</v>
      </c>
      <c r="C33" s="33" t="s">
        <v>4</v>
      </c>
      <c r="D33" s="49">
        <f>49.75*1.1</f>
        <v>54.725000000000001</v>
      </c>
      <c r="E33" s="234"/>
      <c r="F33" s="35">
        <f t="shared" si="0"/>
        <v>0</v>
      </c>
    </row>
    <row r="34" spans="1:6" s="4" customFormat="1" ht="17.25" customHeight="1">
      <c r="A34" s="31" t="s">
        <v>79</v>
      </c>
      <c r="B34" s="32" t="s">
        <v>127</v>
      </c>
      <c r="C34" s="33"/>
      <c r="D34" s="49"/>
      <c r="E34" s="234"/>
      <c r="F34" s="35"/>
    </row>
    <row r="35" spans="1:6" s="3" customFormat="1" ht="17.25" customHeight="1">
      <c r="A35" s="58" t="s">
        <v>128</v>
      </c>
      <c r="B35" s="59" t="s">
        <v>20</v>
      </c>
      <c r="C35" s="60" t="s">
        <v>10</v>
      </c>
      <c r="D35" s="26">
        <f>12*7.45*0.1</f>
        <v>8.9400000000000013</v>
      </c>
      <c r="E35" s="234"/>
      <c r="F35" s="42">
        <f t="shared" si="0"/>
        <v>0</v>
      </c>
    </row>
    <row r="36" spans="1:6" s="3" customFormat="1" ht="17.25" customHeight="1">
      <c r="A36" s="58"/>
      <c r="B36" s="60"/>
      <c r="C36" s="45"/>
      <c r="D36" s="26"/>
      <c r="E36" s="233"/>
      <c r="F36" s="42"/>
    </row>
    <row r="37" spans="1:6" s="4" customFormat="1" ht="17.25" customHeight="1">
      <c r="A37" s="61" t="s">
        <v>24</v>
      </c>
      <c r="B37" s="62" t="s">
        <v>25</v>
      </c>
      <c r="C37" s="48"/>
      <c r="D37" s="49"/>
      <c r="E37" s="234"/>
      <c r="F37" s="35"/>
    </row>
    <row r="38" spans="1:6" s="4" customFormat="1" ht="17.25" customHeight="1">
      <c r="A38" s="31" t="s">
        <v>26</v>
      </c>
      <c r="B38" s="63" t="s">
        <v>129</v>
      </c>
      <c r="C38" s="33" t="s">
        <v>4</v>
      </c>
      <c r="D38" s="49">
        <f>(3.7*3+7.75*2)*2.57+(7.45+7.4*2)*0.1</f>
        <v>70.586999999999989</v>
      </c>
      <c r="E38" s="234"/>
      <c r="F38" s="35">
        <f>D38*E38</f>
        <v>0</v>
      </c>
    </row>
    <row r="39" spans="1:6" s="4" customFormat="1" ht="17.25" customHeight="1">
      <c r="A39" s="31" t="s">
        <v>96</v>
      </c>
      <c r="B39" s="32" t="s">
        <v>130</v>
      </c>
      <c r="C39" s="33"/>
      <c r="D39" s="49"/>
      <c r="E39" s="234"/>
      <c r="F39" s="35"/>
    </row>
    <row r="40" spans="1:6" s="4" customFormat="1" ht="17.25" customHeight="1">
      <c r="A40" s="31" t="s">
        <v>131</v>
      </c>
      <c r="B40" s="32" t="s">
        <v>20</v>
      </c>
      <c r="C40" s="33" t="s">
        <v>10</v>
      </c>
      <c r="D40" s="49">
        <f>11*0.15*0.15*3.57</f>
        <v>0.88357499999999989</v>
      </c>
      <c r="E40" s="234"/>
      <c r="F40" s="35">
        <f t="shared" ref="F40:F50" si="1">D40*E40</f>
        <v>0</v>
      </c>
    </row>
    <row r="41" spans="1:6" s="4" customFormat="1" ht="17.25" customHeight="1">
      <c r="A41" s="31" t="s">
        <v>132</v>
      </c>
      <c r="B41" s="32" t="s">
        <v>22</v>
      </c>
      <c r="C41" s="33" t="s">
        <v>23</v>
      </c>
      <c r="D41" s="49">
        <f>D40*80</f>
        <v>70.685999999999993</v>
      </c>
      <c r="E41" s="234"/>
      <c r="F41" s="35">
        <f t="shared" si="1"/>
        <v>0</v>
      </c>
    </row>
    <row r="42" spans="1:6" s="4" customFormat="1" ht="17.25" customHeight="1">
      <c r="A42" s="31" t="s">
        <v>133</v>
      </c>
      <c r="B42" s="32" t="s">
        <v>134</v>
      </c>
      <c r="C42" s="33" t="s">
        <v>4</v>
      </c>
      <c r="D42" s="49">
        <v>29.41</v>
      </c>
      <c r="E42" s="234"/>
      <c r="F42" s="35">
        <f t="shared" si="1"/>
        <v>0</v>
      </c>
    </row>
    <row r="43" spans="1:6" s="3" customFormat="1" ht="17.25" customHeight="1">
      <c r="A43" s="58" t="s">
        <v>27</v>
      </c>
      <c r="B43" s="59" t="s">
        <v>135</v>
      </c>
      <c r="C43" s="60"/>
      <c r="D43" s="26"/>
      <c r="E43" s="233"/>
      <c r="F43" s="42"/>
    </row>
    <row r="44" spans="1:6" s="3" customFormat="1" ht="17.25" customHeight="1">
      <c r="A44" s="58" t="s">
        <v>136</v>
      </c>
      <c r="B44" s="59" t="s">
        <v>20</v>
      </c>
      <c r="C44" s="60" t="s">
        <v>10</v>
      </c>
      <c r="D44" s="26">
        <f>D30</f>
        <v>1.4925000000000002</v>
      </c>
      <c r="E44" s="234"/>
      <c r="F44" s="42">
        <f t="shared" si="1"/>
        <v>0</v>
      </c>
    </row>
    <row r="45" spans="1:6" s="3" customFormat="1" ht="17.25" customHeight="1">
      <c r="A45" s="58" t="s">
        <v>137</v>
      </c>
      <c r="B45" s="59" t="s">
        <v>22</v>
      </c>
      <c r="C45" s="60" t="s">
        <v>23</v>
      </c>
      <c r="D45" s="26">
        <f>D44*80</f>
        <v>119.4</v>
      </c>
      <c r="E45" s="234"/>
      <c r="F45" s="42">
        <f t="shared" si="1"/>
        <v>0</v>
      </c>
    </row>
    <row r="46" spans="1:6" s="3" customFormat="1" ht="17.25" customHeight="1">
      <c r="A46" s="58" t="s">
        <v>138</v>
      </c>
      <c r="B46" s="32" t="s">
        <v>134</v>
      </c>
      <c r="C46" s="60" t="s">
        <v>4</v>
      </c>
      <c r="D46" s="26">
        <f>D44*12</f>
        <v>17.910000000000004</v>
      </c>
      <c r="E46" s="234"/>
      <c r="F46" s="42">
        <f t="shared" si="1"/>
        <v>0</v>
      </c>
    </row>
    <row r="47" spans="1:6" s="3" customFormat="1" ht="17.25" customHeight="1">
      <c r="A47" s="58" t="s">
        <v>28</v>
      </c>
      <c r="B47" s="59" t="s">
        <v>139</v>
      </c>
      <c r="C47" s="60"/>
      <c r="D47" s="26"/>
      <c r="E47" s="233"/>
      <c r="F47" s="42"/>
    </row>
    <row r="48" spans="1:6" s="3" customFormat="1" ht="17.25" customHeight="1">
      <c r="A48" s="58" t="s">
        <v>140</v>
      </c>
      <c r="B48" s="59" t="s">
        <v>20</v>
      </c>
      <c r="C48" s="60" t="s">
        <v>10</v>
      </c>
      <c r="D48" s="26">
        <f>1.5*0.5*0.08</f>
        <v>0.06</v>
      </c>
      <c r="E48" s="234"/>
      <c r="F48" s="42">
        <f t="shared" si="1"/>
        <v>0</v>
      </c>
    </row>
    <row r="49" spans="1:6" s="3" customFormat="1" ht="17.25" customHeight="1">
      <c r="A49" s="58" t="s">
        <v>141</v>
      </c>
      <c r="B49" s="59" t="s">
        <v>22</v>
      </c>
      <c r="C49" s="60" t="s">
        <v>23</v>
      </c>
      <c r="D49" s="26">
        <f>D48*80</f>
        <v>4.8</v>
      </c>
      <c r="E49" s="234"/>
      <c r="F49" s="42">
        <f t="shared" si="1"/>
        <v>0</v>
      </c>
    </row>
    <row r="50" spans="1:6" s="3" customFormat="1" ht="17.25" customHeight="1">
      <c r="A50" s="58" t="s">
        <v>142</v>
      </c>
      <c r="B50" s="32" t="s">
        <v>134</v>
      </c>
      <c r="C50" s="60" t="s">
        <v>4</v>
      </c>
      <c r="D50" s="26">
        <f>D48*12</f>
        <v>0.72</v>
      </c>
      <c r="E50" s="234"/>
      <c r="F50" s="42">
        <f t="shared" si="1"/>
        <v>0</v>
      </c>
    </row>
    <row r="51" spans="1:6" s="3" customFormat="1" ht="17.25" customHeight="1">
      <c r="A51" s="58"/>
      <c r="B51" s="60"/>
      <c r="C51" s="60"/>
      <c r="D51" s="26"/>
      <c r="E51" s="233"/>
      <c r="F51" s="42"/>
    </row>
    <row r="52" spans="1:6" s="3" customFormat="1" ht="17.25" customHeight="1">
      <c r="A52" s="58" t="s">
        <v>143</v>
      </c>
      <c r="B52" s="64" t="s">
        <v>32</v>
      </c>
      <c r="C52" s="60"/>
      <c r="D52" s="26"/>
      <c r="E52" s="233"/>
      <c r="F52" s="42"/>
    </row>
    <row r="53" spans="1:6" s="3" customFormat="1" ht="17.25" customHeight="1">
      <c r="A53" s="58" t="s">
        <v>144</v>
      </c>
      <c r="B53" s="59" t="s">
        <v>145</v>
      </c>
      <c r="C53" s="60" t="s">
        <v>4</v>
      </c>
      <c r="D53" s="26">
        <f>D38*2</f>
        <v>141.17399999999998</v>
      </c>
      <c r="E53" s="233"/>
      <c r="F53" s="42">
        <f>D53*E53</f>
        <v>0</v>
      </c>
    </row>
    <row r="54" spans="1:6" s="3" customFormat="1" ht="17.25" customHeight="1">
      <c r="A54" s="58" t="s">
        <v>146</v>
      </c>
      <c r="B54" s="59" t="s">
        <v>147</v>
      </c>
      <c r="C54" s="60" t="s">
        <v>4</v>
      </c>
      <c r="D54" s="26">
        <v>0</v>
      </c>
      <c r="E54" s="233"/>
      <c r="F54" s="42">
        <f t="shared" ref="F54:F62" si="2">D54*E54</f>
        <v>0</v>
      </c>
    </row>
    <row r="55" spans="1:6" s="3" customFormat="1" ht="17.25" customHeight="1">
      <c r="A55" s="58" t="s">
        <v>148</v>
      </c>
      <c r="B55" s="59" t="s">
        <v>149</v>
      </c>
      <c r="C55" s="60" t="s">
        <v>212</v>
      </c>
      <c r="D55" s="26">
        <v>0</v>
      </c>
      <c r="E55" s="233"/>
      <c r="F55" s="42">
        <f t="shared" si="2"/>
        <v>0</v>
      </c>
    </row>
    <row r="56" spans="1:6" s="3" customFormat="1" ht="17.25" customHeight="1">
      <c r="A56" s="56" t="s">
        <v>6</v>
      </c>
      <c r="B56" s="65" t="s">
        <v>33</v>
      </c>
      <c r="C56" s="60"/>
      <c r="D56" s="26"/>
      <c r="E56" s="233"/>
      <c r="F56" s="42"/>
    </row>
    <row r="57" spans="1:6" s="3" customFormat="1" ht="17.25" customHeight="1">
      <c r="A57" s="58" t="s">
        <v>29</v>
      </c>
      <c r="B57" s="65" t="s">
        <v>34</v>
      </c>
      <c r="C57" s="60"/>
      <c r="D57" s="26"/>
      <c r="E57" s="233"/>
      <c r="F57" s="42"/>
    </row>
    <row r="58" spans="1:6" s="3" customFormat="1" ht="17.25" customHeight="1">
      <c r="A58" s="58" t="s">
        <v>150</v>
      </c>
      <c r="B58" s="59" t="s">
        <v>270</v>
      </c>
      <c r="C58" s="60" t="s">
        <v>9</v>
      </c>
      <c r="D58" s="26">
        <v>3</v>
      </c>
      <c r="E58" s="233"/>
      <c r="F58" s="42">
        <f t="shared" si="2"/>
        <v>0</v>
      </c>
    </row>
    <row r="59" spans="1:6" s="3" customFormat="1" ht="17.25" customHeight="1">
      <c r="A59" s="58" t="s">
        <v>30</v>
      </c>
      <c r="B59" s="65" t="s">
        <v>35</v>
      </c>
      <c r="C59" s="60"/>
      <c r="D59" s="26"/>
      <c r="E59" s="233"/>
      <c r="F59" s="42"/>
    </row>
    <row r="60" spans="1:6" s="3" customFormat="1" ht="17.25" customHeight="1">
      <c r="A60" s="58" t="s">
        <v>31</v>
      </c>
      <c r="B60" s="59" t="s">
        <v>61</v>
      </c>
      <c r="C60" s="60" t="s">
        <v>9</v>
      </c>
      <c r="D60" s="26">
        <v>1</v>
      </c>
      <c r="E60" s="233"/>
      <c r="F60" s="42">
        <f t="shared" si="2"/>
        <v>0</v>
      </c>
    </row>
    <row r="61" spans="1:6" s="3" customFormat="1" ht="17.25" customHeight="1">
      <c r="A61" s="58" t="s">
        <v>81</v>
      </c>
      <c r="B61" s="65" t="s">
        <v>151</v>
      </c>
      <c r="C61" s="60"/>
      <c r="D61" s="26"/>
      <c r="E61" s="233"/>
      <c r="F61" s="42"/>
    </row>
    <row r="62" spans="1:6" s="3" customFormat="1" ht="17.25" customHeight="1">
      <c r="A62" s="58" t="s">
        <v>82</v>
      </c>
      <c r="B62" s="66" t="s">
        <v>152</v>
      </c>
      <c r="C62" s="60" t="s">
        <v>9</v>
      </c>
      <c r="D62" s="26">
        <v>1</v>
      </c>
      <c r="E62" s="233"/>
      <c r="F62" s="42">
        <f t="shared" si="2"/>
        <v>0</v>
      </c>
    </row>
    <row r="63" spans="1:6" s="3" customFormat="1" ht="17.25" hidden="1" customHeight="1">
      <c r="A63" s="58" t="s">
        <v>153</v>
      </c>
      <c r="B63" s="67" t="s">
        <v>154</v>
      </c>
      <c r="C63" s="60"/>
      <c r="D63" s="26"/>
      <c r="E63" s="233"/>
      <c r="F63" s="42"/>
    </row>
    <row r="64" spans="1:6" s="3" customFormat="1" ht="17.25" hidden="1" customHeight="1">
      <c r="A64" s="58" t="s">
        <v>155</v>
      </c>
      <c r="B64" s="59" t="s">
        <v>156</v>
      </c>
      <c r="C64" s="60" t="s">
        <v>10</v>
      </c>
      <c r="D64" s="41">
        <v>0</v>
      </c>
      <c r="E64" s="236"/>
      <c r="F64" s="68">
        <v>0</v>
      </c>
    </row>
    <row r="65" spans="1:6" s="3" customFormat="1" ht="17.25" hidden="1" customHeight="1">
      <c r="A65" s="58" t="s">
        <v>157</v>
      </c>
      <c r="B65" s="59" t="s">
        <v>158</v>
      </c>
      <c r="C65" s="60" t="s">
        <v>10</v>
      </c>
      <c r="D65" s="41">
        <v>0</v>
      </c>
      <c r="E65" s="236"/>
      <c r="F65" s="68">
        <v>0</v>
      </c>
    </row>
    <row r="66" spans="1:6" s="3" customFormat="1" ht="17.25" hidden="1" customHeight="1">
      <c r="A66" s="58" t="s">
        <v>159</v>
      </c>
      <c r="B66" s="59" t="s">
        <v>160</v>
      </c>
      <c r="C66" s="60" t="s">
        <v>10</v>
      </c>
      <c r="D66" s="41">
        <v>0</v>
      </c>
      <c r="E66" s="236"/>
      <c r="F66" s="68">
        <v>0</v>
      </c>
    </row>
    <row r="67" spans="1:6" s="3" customFormat="1" ht="17.25" hidden="1" customHeight="1">
      <c r="A67" s="58" t="s">
        <v>161</v>
      </c>
      <c r="B67" s="59" t="s">
        <v>162</v>
      </c>
      <c r="C67" s="60" t="s">
        <v>4</v>
      </c>
      <c r="D67" s="41">
        <v>0</v>
      </c>
      <c r="E67" s="236"/>
      <c r="F67" s="68">
        <v>0</v>
      </c>
    </row>
    <row r="68" spans="1:6" s="3" customFormat="1" ht="17.25" hidden="1" customHeight="1">
      <c r="A68" s="58" t="s">
        <v>163</v>
      </c>
      <c r="B68" s="59" t="s">
        <v>164</v>
      </c>
      <c r="C68" s="60"/>
      <c r="D68" s="26"/>
      <c r="E68" s="233"/>
      <c r="F68" s="42"/>
    </row>
    <row r="69" spans="1:6" s="3" customFormat="1" ht="17.25" hidden="1" customHeight="1">
      <c r="A69" s="58" t="s">
        <v>165</v>
      </c>
      <c r="B69" s="59" t="s">
        <v>20</v>
      </c>
      <c r="C69" s="60" t="s">
        <v>10</v>
      </c>
      <c r="D69" s="41">
        <v>0</v>
      </c>
      <c r="E69" s="236"/>
      <c r="F69" s="68">
        <v>0</v>
      </c>
    </row>
    <row r="70" spans="1:6" s="3" customFormat="1" ht="17.25" hidden="1" customHeight="1">
      <c r="A70" s="58" t="s">
        <v>166</v>
      </c>
      <c r="B70" s="59" t="s">
        <v>167</v>
      </c>
      <c r="C70" s="60" t="s">
        <v>23</v>
      </c>
      <c r="D70" s="41">
        <v>0</v>
      </c>
      <c r="E70" s="236"/>
      <c r="F70" s="68">
        <v>0</v>
      </c>
    </row>
    <row r="71" spans="1:6" s="3" customFormat="1" ht="17.25" hidden="1" customHeight="1">
      <c r="A71" s="58" t="s">
        <v>168</v>
      </c>
      <c r="B71" s="59" t="s">
        <v>80</v>
      </c>
      <c r="C71" s="60" t="s">
        <v>4</v>
      </c>
      <c r="D71" s="41">
        <v>0</v>
      </c>
      <c r="E71" s="236"/>
      <c r="F71" s="68">
        <v>0</v>
      </c>
    </row>
    <row r="72" spans="1:6" s="3" customFormat="1" ht="17.25" hidden="1" customHeight="1">
      <c r="A72" s="58" t="s">
        <v>169</v>
      </c>
      <c r="B72" s="59" t="s">
        <v>170</v>
      </c>
      <c r="C72" s="60" t="s">
        <v>4</v>
      </c>
      <c r="D72" s="41">
        <v>0</v>
      </c>
      <c r="E72" s="236"/>
      <c r="F72" s="68">
        <v>0</v>
      </c>
    </row>
    <row r="73" spans="1:6" s="3" customFormat="1" ht="17.25" customHeight="1">
      <c r="A73" s="58"/>
      <c r="B73" s="51" t="s">
        <v>36</v>
      </c>
      <c r="C73" s="52"/>
      <c r="D73" s="53"/>
      <c r="E73" s="235"/>
      <c r="F73" s="54">
        <f>SUM(F21:F72)</f>
        <v>0</v>
      </c>
    </row>
    <row r="74" spans="1:6" s="3" customFormat="1" ht="15.6">
      <c r="A74" s="58"/>
      <c r="B74" s="69"/>
      <c r="C74" s="25"/>
      <c r="D74" s="41"/>
      <c r="E74" s="232"/>
      <c r="F74" s="42"/>
    </row>
    <row r="75" spans="1:6" s="3" customFormat="1" ht="15.6">
      <c r="A75" s="58"/>
      <c r="B75" s="36" t="s">
        <v>37</v>
      </c>
      <c r="C75" s="37"/>
      <c r="D75" s="38"/>
      <c r="E75" s="231"/>
      <c r="F75" s="40">
        <f>F73+F18</f>
        <v>0</v>
      </c>
    </row>
    <row r="76" spans="1:6" s="3" customFormat="1" ht="15.6">
      <c r="A76" s="58"/>
      <c r="B76" s="70"/>
      <c r="C76" s="25"/>
      <c r="D76" s="41"/>
      <c r="E76" s="232"/>
      <c r="F76" s="42"/>
    </row>
    <row r="77" spans="1:6" s="3" customFormat="1" ht="15.6">
      <c r="A77" s="27" t="s">
        <v>18</v>
      </c>
      <c r="B77" s="28" t="s">
        <v>38</v>
      </c>
      <c r="C77" s="29"/>
      <c r="D77" s="30"/>
      <c r="E77" s="229"/>
      <c r="F77" s="29"/>
    </row>
    <row r="78" spans="1:6" s="3" customFormat="1" ht="15.6">
      <c r="A78" s="58" t="s">
        <v>83</v>
      </c>
      <c r="B78" s="59" t="s">
        <v>84</v>
      </c>
      <c r="C78" s="60"/>
      <c r="D78" s="71"/>
      <c r="E78" s="237"/>
      <c r="F78" s="42"/>
    </row>
    <row r="79" spans="1:6" s="3" customFormat="1" ht="15.6">
      <c r="A79" s="58" t="s">
        <v>85</v>
      </c>
      <c r="B79" s="59" t="s">
        <v>171</v>
      </c>
      <c r="C79" s="60" t="s">
        <v>10</v>
      </c>
      <c r="D79" s="26">
        <f>(13*8)/100</f>
        <v>1.04</v>
      </c>
      <c r="E79" s="237"/>
      <c r="F79" s="42">
        <f>D79*E79</f>
        <v>0</v>
      </c>
    </row>
    <row r="80" spans="1:6" s="3" customFormat="1" ht="15.6">
      <c r="A80" s="23"/>
      <c r="B80" s="36" t="s">
        <v>39</v>
      </c>
      <c r="C80" s="37"/>
      <c r="D80" s="38"/>
      <c r="E80" s="231"/>
      <c r="F80" s="40">
        <f>SUM(F79:F79)</f>
        <v>0</v>
      </c>
    </row>
    <row r="81" spans="1:6" s="3" customFormat="1" ht="15.6">
      <c r="A81" s="23"/>
      <c r="B81" s="70"/>
      <c r="C81" s="25"/>
      <c r="D81" s="41"/>
      <c r="E81" s="232"/>
      <c r="F81" s="42"/>
    </row>
    <row r="82" spans="1:6" s="3" customFormat="1" ht="15.6">
      <c r="A82" s="27" t="s">
        <v>40</v>
      </c>
      <c r="B82" s="28" t="s">
        <v>41</v>
      </c>
      <c r="C82" s="29"/>
      <c r="D82" s="30"/>
      <c r="E82" s="229"/>
      <c r="F82" s="29"/>
    </row>
    <row r="83" spans="1:6" s="3" customFormat="1" ht="15.6">
      <c r="A83" s="58" t="s">
        <v>86</v>
      </c>
      <c r="B83" s="59" t="s">
        <v>42</v>
      </c>
      <c r="C83" s="25"/>
      <c r="D83" s="41"/>
      <c r="E83" s="232"/>
      <c r="F83" s="42"/>
    </row>
    <row r="84" spans="1:6" s="3" customFormat="1" ht="15.6">
      <c r="A84" s="58" t="s">
        <v>87</v>
      </c>
      <c r="B84" s="64" t="s">
        <v>43</v>
      </c>
      <c r="C84" s="25"/>
      <c r="D84" s="41"/>
      <c r="E84" s="232"/>
      <c r="F84" s="42"/>
    </row>
    <row r="85" spans="1:6" s="3" customFormat="1" ht="15.6">
      <c r="A85" s="58" t="s">
        <v>95</v>
      </c>
      <c r="B85" s="59" t="s">
        <v>172</v>
      </c>
      <c r="C85" s="60" t="s">
        <v>4</v>
      </c>
      <c r="D85" s="26">
        <f>2*4.5*13</f>
        <v>117</v>
      </c>
      <c r="E85" s="237"/>
      <c r="F85" s="42">
        <f>D85*E85</f>
        <v>0</v>
      </c>
    </row>
    <row r="86" spans="1:6" s="3" customFormat="1" ht="15.6">
      <c r="A86" s="58" t="s">
        <v>88</v>
      </c>
      <c r="B86" s="64" t="s">
        <v>89</v>
      </c>
      <c r="C86" s="60"/>
      <c r="D86" s="26"/>
      <c r="E86" s="237"/>
      <c r="F86" s="42"/>
    </row>
    <row r="87" spans="1:6" s="3" customFormat="1" ht="15.6">
      <c r="A87" s="58" t="s">
        <v>90</v>
      </c>
      <c r="B87" s="59" t="s">
        <v>173</v>
      </c>
      <c r="C87" s="60" t="s">
        <v>7</v>
      </c>
      <c r="D87" s="26">
        <v>13</v>
      </c>
      <c r="E87" s="237"/>
      <c r="F87" s="42">
        <f>D87*E87</f>
        <v>0</v>
      </c>
    </row>
    <row r="88" spans="1:6" s="3" customFormat="1" ht="15.6">
      <c r="A88" s="58" t="s">
        <v>174</v>
      </c>
      <c r="B88" s="64" t="s">
        <v>44</v>
      </c>
      <c r="C88" s="72"/>
      <c r="D88" s="73"/>
      <c r="E88" s="237"/>
      <c r="F88" s="42"/>
    </row>
    <row r="89" spans="1:6" s="3" customFormat="1" ht="15.6">
      <c r="A89" s="58" t="s">
        <v>175</v>
      </c>
      <c r="B89" s="59" t="s">
        <v>176</v>
      </c>
      <c r="C89" s="60" t="s">
        <v>4</v>
      </c>
      <c r="D89" s="26">
        <f>(4*4.5+13*2)*0.3</f>
        <v>13.2</v>
      </c>
      <c r="E89" s="237"/>
      <c r="F89" s="42">
        <f>D89*E89</f>
        <v>0</v>
      </c>
    </row>
    <row r="90" spans="1:6" s="3" customFormat="1" ht="17.25" customHeight="1">
      <c r="A90" s="23"/>
      <c r="B90" s="36" t="s">
        <v>45</v>
      </c>
      <c r="C90" s="37"/>
      <c r="D90" s="38"/>
      <c r="E90" s="231"/>
      <c r="F90" s="40">
        <f>SUM(F85:F89)</f>
        <v>0</v>
      </c>
    </row>
    <row r="91" spans="1:6" s="4" customFormat="1" ht="17.25" customHeight="1">
      <c r="A91" s="74"/>
      <c r="B91" s="75"/>
      <c r="C91" s="76"/>
      <c r="D91" s="77"/>
      <c r="E91" s="238"/>
      <c r="F91" s="35"/>
    </row>
    <row r="92" spans="1:6" s="3" customFormat="1" ht="15.6">
      <c r="A92" s="27" t="s">
        <v>46</v>
      </c>
      <c r="B92" s="28" t="s">
        <v>47</v>
      </c>
      <c r="C92" s="29"/>
      <c r="D92" s="30"/>
      <c r="E92" s="229"/>
      <c r="F92" s="29"/>
    </row>
    <row r="93" spans="1:6" s="3" customFormat="1" ht="15.6">
      <c r="A93" s="78" t="s">
        <v>48</v>
      </c>
      <c r="B93" s="64" t="s">
        <v>50</v>
      </c>
      <c r="C93" s="60"/>
      <c r="D93" s="71"/>
      <c r="E93" s="237"/>
      <c r="F93" s="42"/>
    </row>
    <row r="94" spans="1:6" s="3" customFormat="1" ht="15.6">
      <c r="A94" s="78" t="s">
        <v>49</v>
      </c>
      <c r="B94" s="59" t="s">
        <v>177</v>
      </c>
      <c r="C94" s="60" t="s">
        <v>109</v>
      </c>
      <c r="D94" s="26">
        <v>1</v>
      </c>
      <c r="E94" s="237"/>
      <c r="F94" s="42">
        <f>D94*E94</f>
        <v>0</v>
      </c>
    </row>
    <row r="95" spans="1:6" s="3" customFormat="1" ht="15.6">
      <c r="A95" s="23"/>
      <c r="B95" s="36" t="s">
        <v>51</v>
      </c>
      <c r="C95" s="37"/>
      <c r="D95" s="38"/>
      <c r="E95" s="231"/>
      <c r="F95" s="40">
        <f>SUM(F94)</f>
        <v>0</v>
      </c>
    </row>
    <row r="96" spans="1:6" s="3" customFormat="1" ht="15.6">
      <c r="A96" s="58"/>
      <c r="B96" s="45"/>
      <c r="C96" s="45"/>
      <c r="D96" s="79"/>
      <c r="E96" s="239"/>
      <c r="F96" s="42"/>
    </row>
    <row r="97" spans="1:6" s="3" customFormat="1" ht="15.6">
      <c r="A97" s="27" t="s">
        <v>52</v>
      </c>
      <c r="B97" s="28" t="s">
        <v>178</v>
      </c>
      <c r="C97" s="29"/>
      <c r="D97" s="30"/>
      <c r="E97" s="229"/>
      <c r="F97" s="29"/>
    </row>
    <row r="98" spans="1:6" s="3" customFormat="1" ht="19.8" customHeight="1">
      <c r="A98" s="78" t="s">
        <v>92</v>
      </c>
      <c r="B98" s="80" t="s">
        <v>179</v>
      </c>
      <c r="C98" s="60" t="s">
        <v>4</v>
      </c>
      <c r="D98" s="26">
        <f>8.45*3.9</f>
        <v>32.954999999999998</v>
      </c>
      <c r="E98" s="237"/>
      <c r="F98" s="81">
        <f>D98*E98</f>
        <v>0</v>
      </c>
    </row>
    <row r="99" spans="1:6" s="3" customFormat="1" ht="15.6">
      <c r="A99" s="78" t="s">
        <v>91</v>
      </c>
      <c r="B99" s="82" t="s">
        <v>180</v>
      </c>
      <c r="C99" s="60" t="s">
        <v>7</v>
      </c>
      <c r="D99" s="26">
        <f>49.75*4</f>
        <v>199</v>
      </c>
      <c r="E99" s="237"/>
      <c r="F99" s="42">
        <f>D99*E99</f>
        <v>0</v>
      </c>
    </row>
    <row r="100" spans="1:6" s="3" customFormat="1" ht="15.6">
      <c r="A100" s="78"/>
      <c r="B100" s="82"/>
      <c r="C100" s="25"/>
      <c r="D100" s="41"/>
      <c r="E100" s="232"/>
      <c r="F100" s="42"/>
    </row>
    <row r="101" spans="1:6" s="3" customFormat="1" ht="15.6">
      <c r="A101" s="58"/>
      <c r="B101" s="36" t="s">
        <v>181</v>
      </c>
      <c r="C101" s="83"/>
      <c r="D101" s="38"/>
      <c r="E101" s="231"/>
      <c r="F101" s="40">
        <f>SUM(F98:F100)</f>
        <v>0</v>
      </c>
    </row>
    <row r="102" spans="1:6" s="3" customFormat="1" ht="15.6">
      <c r="A102" s="58"/>
      <c r="B102" s="84"/>
      <c r="C102" s="25"/>
      <c r="D102" s="41"/>
      <c r="E102" s="232"/>
      <c r="F102" s="42"/>
    </row>
    <row r="103" spans="1:6" s="3" customFormat="1" ht="15.6">
      <c r="A103" s="27" t="s">
        <v>68</v>
      </c>
      <c r="B103" s="28" t="s">
        <v>54</v>
      </c>
      <c r="C103" s="29"/>
      <c r="D103" s="30"/>
      <c r="E103" s="229"/>
      <c r="F103" s="29"/>
    </row>
    <row r="104" spans="1:6" s="3" customFormat="1" ht="15.6">
      <c r="A104" s="58" t="s">
        <v>91</v>
      </c>
      <c r="B104" s="64" t="s">
        <v>182</v>
      </c>
      <c r="C104" s="25"/>
      <c r="D104" s="41"/>
      <c r="E104" s="232"/>
      <c r="F104" s="42"/>
    </row>
    <row r="105" spans="1:6" s="3" customFormat="1" ht="15.6">
      <c r="A105" s="58" t="s">
        <v>97</v>
      </c>
      <c r="B105" s="59" t="s">
        <v>183</v>
      </c>
      <c r="C105" s="25"/>
      <c r="D105" s="41"/>
      <c r="E105" s="232"/>
      <c r="F105" s="42"/>
    </row>
    <row r="106" spans="1:6" s="3" customFormat="1" ht="15.6">
      <c r="A106" s="58" t="s">
        <v>184</v>
      </c>
      <c r="B106" s="59" t="s">
        <v>185</v>
      </c>
      <c r="C106" s="60" t="s">
        <v>9</v>
      </c>
      <c r="D106" s="26">
        <v>2</v>
      </c>
      <c r="E106" s="237"/>
      <c r="F106" s="42">
        <f>D106*E106</f>
        <v>0</v>
      </c>
    </row>
    <row r="107" spans="1:6" s="3" customFormat="1" ht="15.6">
      <c r="A107" s="58" t="s">
        <v>186</v>
      </c>
      <c r="B107" s="59" t="s">
        <v>187</v>
      </c>
      <c r="C107" s="60" t="s">
        <v>9</v>
      </c>
      <c r="D107" s="26">
        <v>2</v>
      </c>
      <c r="E107" s="237"/>
      <c r="F107" s="42">
        <f>D107*E107</f>
        <v>0</v>
      </c>
    </row>
    <row r="108" spans="1:6" s="3" customFormat="1" ht="15.6">
      <c r="A108" s="58" t="s">
        <v>92</v>
      </c>
      <c r="B108" s="64" t="s">
        <v>188</v>
      </c>
      <c r="C108" s="60"/>
      <c r="D108" s="26"/>
      <c r="E108" s="237"/>
      <c r="F108" s="42"/>
    </row>
    <row r="109" spans="1:6" s="3" customFormat="1" ht="15.6">
      <c r="A109" s="58" t="s">
        <v>98</v>
      </c>
      <c r="B109" s="59" t="s">
        <v>189</v>
      </c>
      <c r="C109" s="60" t="s">
        <v>9</v>
      </c>
      <c r="D109" s="26">
        <v>2</v>
      </c>
      <c r="E109" s="237"/>
      <c r="F109" s="42">
        <f>D109*E109</f>
        <v>0</v>
      </c>
    </row>
    <row r="110" spans="1:6" s="3" customFormat="1" ht="15">
      <c r="A110" s="85"/>
      <c r="B110" s="36" t="s">
        <v>55</v>
      </c>
      <c r="C110" s="86"/>
      <c r="D110" s="38"/>
      <c r="E110" s="231"/>
      <c r="F110" s="40">
        <f>SUM(F106:F109)</f>
        <v>0</v>
      </c>
    </row>
    <row r="111" spans="1:6" s="4" customFormat="1" ht="15">
      <c r="A111" s="87"/>
      <c r="B111" s="75"/>
      <c r="C111" s="88"/>
      <c r="D111" s="77"/>
      <c r="E111" s="238"/>
      <c r="F111" s="35"/>
    </row>
    <row r="112" spans="1:6" s="1" customFormat="1" ht="15.6">
      <c r="A112" s="27" t="s">
        <v>53</v>
      </c>
      <c r="B112" s="28" t="s">
        <v>62</v>
      </c>
      <c r="C112" s="29"/>
      <c r="D112" s="30"/>
      <c r="E112" s="229"/>
      <c r="F112" s="29"/>
    </row>
    <row r="113" spans="1:6" s="1" customFormat="1" ht="15.6">
      <c r="A113" s="58" t="s">
        <v>190</v>
      </c>
      <c r="B113" s="89" t="s">
        <v>63</v>
      </c>
      <c r="C113" s="60"/>
      <c r="D113" s="26"/>
      <c r="E113" s="232"/>
      <c r="F113" s="42"/>
    </row>
    <row r="114" spans="1:6" s="1" customFormat="1" ht="18" customHeight="1">
      <c r="A114" s="58" t="s">
        <v>191</v>
      </c>
      <c r="B114" s="90" t="s">
        <v>192</v>
      </c>
      <c r="C114" s="60" t="s">
        <v>4</v>
      </c>
      <c r="D114" s="26">
        <v>5</v>
      </c>
      <c r="E114" s="232"/>
      <c r="F114" s="42">
        <f>D114*E114</f>
        <v>0</v>
      </c>
    </row>
    <row r="115" spans="1:6" s="1" customFormat="1" ht="18" customHeight="1">
      <c r="A115" s="58" t="s">
        <v>193</v>
      </c>
      <c r="B115" s="90" t="s">
        <v>194</v>
      </c>
      <c r="C115" s="60" t="s">
        <v>4</v>
      </c>
      <c r="D115" s="26">
        <v>0</v>
      </c>
      <c r="E115" s="232"/>
      <c r="F115" s="42">
        <f>D115*E115</f>
        <v>0</v>
      </c>
    </row>
    <row r="116" spans="1:6" s="1" customFormat="1" ht="15">
      <c r="A116" s="85"/>
      <c r="B116" s="36" t="s">
        <v>64</v>
      </c>
      <c r="C116" s="86"/>
      <c r="D116" s="38"/>
      <c r="E116" s="231"/>
      <c r="F116" s="40">
        <f>SUM(F113:F115)</f>
        <v>0</v>
      </c>
    </row>
    <row r="117" spans="1:6" s="3" customFormat="1" ht="15">
      <c r="A117" s="85"/>
      <c r="B117" s="91"/>
      <c r="C117" s="92"/>
      <c r="D117" s="41"/>
      <c r="E117" s="232"/>
      <c r="F117" s="42"/>
    </row>
    <row r="118" spans="1:6" s="3" customFormat="1" ht="15.6">
      <c r="A118" s="27" t="s">
        <v>69</v>
      </c>
      <c r="B118" s="28" t="s">
        <v>11</v>
      </c>
      <c r="C118" s="29"/>
      <c r="D118" s="30"/>
      <c r="E118" s="229"/>
      <c r="F118" s="29"/>
    </row>
    <row r="119" spans="1:6" s="3" customFormat="1" ht="15.6">
      <c r="A119" s="58" t="s">
        <v>94</v>
      </c>
      <c r="B119" s="93" t="s">
        <v>59</v>
      </c>
      <c r="C119" s="60"/>
      <c r="D119" s="71"/>
      <c r="E119" s="237"/>
      <c r="F119" s="42"/>
    </row>
    <row r="120" spans="1:6" s="3" customFormat="1" ht="15.6">
      <c r="A120" s="58" t="s">
        <v>99</v>
      </c>
      <c r="B120" s="59" t="s">
        <v>195</v>
      </c>
      <c r="C120" s="60" t="s">
        <v>4</v>
      </c>
      <c r="D120" s="26">
        <f>(7.45*3.57+3.55*3.57*2)+(7.4*2*1+7.45*1)</f>
        <v>74.1935</v>
      </c>
      <c r="E120" s="237"/>
      <c r="F120" s="42">
        <f t="shared" ref="F120:F126" si="3">D120*E120</f>
        <v>0</v>
      </c>
    </row>
    <row r="121" spans="1:6" s="3" customFormat="1" ht="15.6">
      <c r="A121" s="58" t="s">
        <v>196</v>
      </c>
      <c r="B121" s="59" t="s">
        <v>197</v>
      </c>
      <c r="C121" s="60" t="s">
        <v>4</v>
      </c>
      <c r="D121" s="26">
        <f>49.75*1</f>
        <v>49.75</v>
      </c>
      <c r="E121" s="237"/>
      <c r="F121" s="42">
        <f t="shared" si="3"/>
        <v>0</v>
      </c>
    </row>
    <row r="122" spans="1:6" s="3" customFormat="1" ht="15.6">
      <c r="A122" s="58" t="s">
        <v>198</v>
      </c>
      <c r="B122" s="64" t="s">
        <v>60</v>
      </c>
      <c r="C122" s="60"/>
      <c r="D122" s="26"/>
      <c r="E122" s="237"/>
      <c r="F122" s="42"/>
    </row>
    <row r="123" spans="1:6" s="3" customFormat="1" ht="15.6">
      <c r="A123" s="58" t="s">
        <v>199</v>
      </c>
      <c r="B123" s="59" t="s">
        <v>200</v>
      </c>
      <c r="C123" s="60" t="s">
        <v>4</v>
      </c>
      <c r="D123" s="26">
        <f>D120+3.4*3*2</f>
        <v>94.593500000000006</v>
      </c>
      <c r="E123" s="237"/>
      <c r="F123" s="42">
        <f t="shared" si="3"/>
        <v>0</v>
      </c>
    </row>
    <row r="124" spans="1:6" s="3" customFormat="1" ht="15.6">
      <c r="A124" s="58" t="s">
        <v>201</v>
      </c>
      <c r="B124" s="59" t="s">
        <v>202</v>
      </c>
      <c r="C124" s="60" t="s">
        <v>4</v>
      </c>
      <c r="D124" s="26">
        <f>D98+1.5</f>
        <v>34.454999999999998</v>
      </c>
      <c r="E124" s="237"/>
      <c r="F124" s="42">
        <f t="shared" si="3"/>
        <v>0</v>
      </c>
    </row>
    <row r="125" spans="1:6" s="3" customFormat="1" ht="15.6">
      <c r="A125" s="78" t="s">
        <v>203</v>
      </c>
      <c r="B125" s="64" t="s">
        <v>56</v>
      </c>
      <c r="C125" s="60"/>
      <c r="D125" s="26"/>
      <c r="E125" s="237"/>
      <c r="F125" s="42"/>
    </row>
    <row r="126" spans="1:6" s="3" customFormat="1" ht="15.6">
      <c r="A126" s="78" t="s">
        <v>204</v>
      </c>
      <c r="B126" s="59" t="s">
        <v>205</v>
      </c>
      <c r="C126" s="60" t="s">
        <v>4</v>
      </c>
      <c r="D126" s="26">
        <f>0.9*2.1*2*2+0.9*4</f>
        <v>11.16</v>
      </c>
      <c r="E126" s="237"/>
      <c r="F126" s="42">
        <f t="shared" si="3"/>
        <v>0</v>
      </c>
    </row>
    <row r="127" spans="1:6" s="3" customFormat="1" ht="15">
      <c r="A127" s="85"/>
      <c r="B127" s="36" t="s">
        <v>57</v>
      </c>
      <c r="C127" s="86"/>
      <c r="D127" s="38"/>
      <c r="E127" s="39"/>
      <c r="F127" s="40">
        <f>SUM(F120:F126)</f>
        <v>0</v>
      </c>
    </row>
    <row r="128" spans="1:6" s="3" customFormat="1" ht="15">
      <c r="A128" s="256"/>
      <c r="B128" s="257"/>
      <c r="C128" s="257"/>
      <c r="D128" s="257"/>
      <c r="E128" s="257"/>
      <c r="F128" s="257"/>
    </row>
    <row r="129" spans="1:6" s="3" customFormat="1" ht="20.25" customHeight="1">
      <c r="A129" s="253" t="s">
        <v>206</v>
      </c>
      <c r="B129" s="254"/>
      <c r="C129" s="254"/>
      <c r="D129" s="254"/>
      <c r="E129" s="261"/>
      <c r="F129" s="94">
        <f>F127+F110+F101+F95+F90+F80+F75+F116+F11</f>
        <v>0</v>
      </c>
    </row>
    <row r="130" spans="1:6" s="3" customFormat="1" ht="15">
      <c r="A130" s="256"/>
      <c r="B130" s="257"/>
      <c r="C130" s="257"/>
      <c r="D130" s="257"/>
      <c r="E130" s="257"/>
      <c r="F130" s="257"/>
    </row>
    <row r="131" spans="1:6" s="3" customFormat="1" ht="20.25" customHeight="1">
      <c r="A131" s="253" t="s">
        <v>269</v>
      </c>
      <c r="B131" s="254"/>
      <c r="C131" s="254"/>
      <c r="D131" s="110">
        <v>0.1007</v>
      </c>
      <c r="E131" s="109"/>
      <c r="F131" s="94">
        <f>F129*D131</f>
        <v>0</v>
      </c>
    </row>
    <row r="132" spans="1:6" s="3" customFormat="1" ht="15">
      <c r="A132" s="249"/>
      <c r="B132" s="250"/>
      <c r="C132" s="251"/>
      <c r="D132" s="251"/>
      <c r="E132" s="251"/>
      <c r="F132" s="251"/>
    </row>
    <row r="133" spans="1:6" s="3" customFormat="1" ht="24.75" customHeight="1">
      <c r="A133" s="249" t="s">
        <v>207</v>
      </c>
      <c r="B133" s="250"/>
      <c r="C133" s="251"/>
      <c r="D133" s="251"/>
      <c r="E133" s="252">
        <f>F129+F131</f>
        <v>0</v>
      </c>
      <c r="F133" s="252"/>
    </row>
    <row r="134" spans="1:6" s="3" customFormat="1" ht="15.6">
      <c r="A134" s="5"/>
      <c r="B134" s="5"/>
      <c r="C134" s="6"/>
      <c r="D134" s="7"/>
      <c r="E134" s="6"/>
      <c r="F134" s="6"/>
    </row>
  </sheetData>
  <sheetProtection selectLockedCells="1"/>
  <mergeCells count="9">
    <mergeCell ref="A132:F132"/>
    <mergeCell ref="A133:D133"/>
    <mergeCell ref="E133:F133"/>
    <mergeCell ref="A131:C131"/>
    <mergeCell ref="A1:F1"/>
    <mergeCell ref="A130:F130"/>
    <mergeCell ref="A3:F3"/>
    <mergeCell ref="A128:F128"/>
    <mergeCell ref="A129:E129"/>
  </mergeCells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A7DA-57FC-4D1F-ACDF-2F2D90E4860C}">
  <sheetPr>
    <pageSetUpPr fitToPage="1"/>
  </sheetPr>
  <dimension ref="A1:G58"/>
  <sheetViews>
    <sheetView showGridLines="0" view="pageBreakPreview" zoomScale="60" zoomScaleNormal="70" workbookViewId="0">
      <selection activeCell="M1" sqref="M1"/>
    </sheetView>
  </sheetViews>
  <sheetFormatPr baseColWidth="10" defaultRowHeight="25.2" customHeight="1"/>
  <cols>
    <col min="1" max="1" width="6.5546875" style="114" customWidth="1"/>
    <col min="2" max="2" width="92.21875" style="114" customWidth="1"/>
    <col min="3" max="3" width="12" style="114" customWidth="1"/>
    <col min="4" max="4" width="13.5546875" style="114" customWidth="1"/>
    <col min="5" max="5" width="17.109375" style="114" customWidth="1"/>
    <col min="6" max="6" width="19.6640625" style="114" customWidth="1"/>
    <col min="7" max="16384" width="11.5546875" style="114"/>
  </cols>
  <sheetData>
    <row r="1" spans="1:7" ht="25.2" customHeight="1">
      <c r="A1" s="262"/>
      <c r="B1" s="262"/>
      <c r="C1" s="262"/>
      <c r="D1" s="262"/>
      <c r="E1" s="262"/>
      <c r="F1" s="262"/>
    </row>
    <row r="2" spans="1:7" ht="39" customHeight="1">
      <c r="A2" s="263"/>
      <c r="B2" s="263"/>
      <c r="C2" s="263"/>
      <c r="D2" s="263"/>
      <c r="E2" s="263"/>
      <c r="F2" s="263"/>
      <c r="G2" s="115"/>
    </row>
    <row r="3" spans="1:7" ht="51" customHeight="1">
      <c r="A3" s="263"/>
      <c r="B3" s="263"/>
      <c r="C3" s="263"/>
      <c r="D3" s="263"/>
      <c r="E3" s="263"/>
      <c r="F3" s="263"/>
    </row>
    <row r="4" spans="1:7" ht="25.2" customHeight="1">
      <c r="A4" s="264" t="s">
        <v>274</v>
      </c>
      <c r="B4" s="264"/>
      <c r="C4" s="264"/>
      <c r="D4" s="264"/>
      <c r="E4" s="264"/>
      <c r="F4" s="264"/>
    </row>
    <row r="5" spans="1:7" ht="25.2" customHeight="1">
      <c r="A5" s="116"/>
      <c r="B5" s="117"/>
      <c r="C5" s="117"/>
      <c r="D5" s="117"/>
      <c r="E5" s="117"/>
      <c r="F5" s="116"/>
    </row>
    <row r="6" spans="1:7" s="113" customFormat="1" ht="25.2" customHeight="1">
      <c r="A6" s="118" t="s">
        <v>275</v>
      </c>
      <c r="B6" s="119" t="s">
        <v>67</v>
      </c>
      <c r="C6" s="119" t="s">
        <v>276</v>
      </c>
      <c r="D6" s="119" t="s">
        <v>277</v>
      </c>
      <c r="E6" s="119" t="s">
        <v>278</v>
      </c>
      <c r="F6" s="119" t="s">
        <v>279</v>
      </c>
    </row>
    <row r="7" spans="1:7" ht="25.2" customHeight="1">
      <c r="A7" s="119">
        <v>1</v>
      </c>
      <c r="B7" s="120" t="s">
        <v>280</v>
      </c>
      <c r="C7" s="118" t="s">
        <v>281</v>
      </c>
      <c r="D7" s="118">
        <v>1</v>
      </c>
      <c r="E7" s="240"/>
      <c r="F7" s="121">
        <f>D7*E7</f>
        <v>0</v>
      </c>
    </row>
    <row r="8" spans="1:7" ht="25.2" customHeight="1">
      <c r="A8" s="122"/>
      <c r="B8" s="123" t="s">
        <v>282</v>
      </c>
      <c r="C8" s="122"/>
      <c r="D8" s="122"/>
      <c r="E8" s="241"/>
      <c r="F8" s="125">
        <f>F7</f>
        <v>0</v>
      </c>
    </row>
    <row r="9" spans="1:7" ht="25.2" customHeight="1">
      <c r="A9" s="119">
        <v>2</v>
      </c>
      <c r="B9" s="120" t="s">
        <v>283</v>
      </c>
      <c r="C9" s="118"/>
      <c r="D9" s="118"/>
      <c r="E9" s="242"/>
      <c r="F9" s="121"/>
    </row>
    <row r="10" spans="1:7" ht="25.2" customHeight="1">
      <c r="A10" s="118" t="s">
        <v>71</v>
      </c>
      <c r="B10" s="126" t="s">
        <v>284</v>
      </c>
      <c r="C10" s="118" t="s">
        <v>285</v>
      </c>
      <c r="D10" s="118">
        <v>1</v>
      </c>
      <c r="E10" s="243"/>
      <c r="F10" s="121">
        <f>E10*D10</f>
        <v>0</v>
      </c>
    </row>
    <row r="11" spans="1:7" ht="25.2" customHeight="1">
      <c r="A11" s="118" t="s">
        <v>241</v>
      </c>
      <c r="B11" s="126" t="s">
        <v>286</v>
      </c>
      <c r="C11" s="127" t="s">
        <v>10</v>
      </c>
      <c r="D11" s="118">
        <f>(9*3+9.98*2)*0.85*0.6</f>
        <v>23.949599999999997</v>
      </c>
      <c r="E11" s="243"/>
      <c r="F11" s="121">
        <f>E11*D11</f>
        <v>0</v>
      </c>
    </row>
    <row r="12" spans="1:7" ht="25.2" customHeight="1">
      <c r="A12" s="118" t="s">
        <v>6</v>
      </c>
      <c r="B12" s="126" t="s">
        <v>287</v>
      </c>
      <c r="C12" s="127" t="s">
        <v>10</v>
      </c>
      <c r="D12" s="118">
        <f>(18+9.98*2)*0.35*0.45</f>
        <v>5.9786999999999999</v>
      </c>
      <c r="E12" s="243"/>
      <c r="F12" s="121">
        <f>E12*D12</f>
        <v>0</v>
      </c>
    </row>
    <row r="13" spans="1:7" ht="25.2" customHeight="1">
      <c r="A13" s="118" t="s">
        <v>288</v>
      </c>
      <c r="B13" s="126" t="s">
        <v>289</v>
      </c>
      <c r="C13" s="127" t="s">
        <v>10</v>
      </c>
      <c r="D13" s="118">
        <f>9*9.98*0.6</f>
        <v>53.892000000000003</v>
      </c>
      <c r="E13" s="244"/>
      <c r="F13" s="121">
        <f>E13*D13</f>
        <v>0</v>
      </c>
    </row>
    <row r="14" spans="1:7" ht="25.2" customHeight="1">
      <c r="A14" s="128"/>
      <c r="B14" s="123" t="s">
        <v>290</v>
      </c>
      <c r="C14" s="124"/>
      <c r="D14" s="124"/>
      <c r="E14" s="245"/>
      <c r="F14" s="125">
        <f>SUM(F10:F13)</f>
        <v>0</v>
      </c>
    </row>
    <row r="15" spans="1:7" ht="25.2" customHeight="1">
      <c r="A15" s="119">
        <v>3</v>
      </c>
      <c r="B15" s="120" t="s">
        <v>291</v>
      </c>
      <c r="C15" s="118"/>
      <c r="D15" s="118"/>
      <c r="E15" s="244"/>
      <c r="F15" s="121">
        <f t="shared" ref="F15:F24" si="0">E15*D15</f>
        <v>0</v>
      </c>
    </row>
    <row r="16" spans="1:7" ht="25.2" customHeight="1">
      <c r="A16" s="118" t="s">
        <v>83</v>
      </c>
      <c r="B16" s="126" t="s">
        <v>292</v>
      </c>
      <c r="C16" s="118" t="s">
        <v>10</v>
      </c>
      <c r="D16" s="118">
        <f>55.96*0.6*0.05</f>
        <v>1.6788000000000001</v>
      </c>
      <c r="E16" s="244"/>
      <c r="F16" s="121">
        <f t="shared" si="0"/>
        <v>0</v>
      </c>
    </row>
    <row r="17" spans="1:6" ht="25.2" customHeight="1">
      <c r="A17" s="118" t="s">
        <v>293</v>
      </c>
      <c r="B17" s="126" t="s">
        <v>294</v>
      </c>
      <c r="C17" s="118" t="s">
        <v>10</v>
      </c>
      <c r="D17" s="118">
        <f>55.96*0.6*0.1</f>
        <v>3.3576000000000001</v>
      </c>
      <c r="E17" s="244"/>
      <c r="F17" s="121">
        <f t="shared" si="0"/>
        <v>0</v>
      </c>
    </row>
    <row r="18" spans="1:6" ht="25.2" customHeight="1">
      <c r="A18" s="118" t="s">
        <v>295</v>
      </c>
      <c r="B18" s="126" t="s">
        <v>296</v>
      </c>
      <c r="C18" s="118" t="s">
        <v>4</v>
      </c>
      <c r="D18" s="129">
        <f>55.96*1.1</f>
        <v>61.556000000000004</v>
      </c>
      <c r="E18" s="244"/>
      <c r="F18" s="121">
        <f t="shared" si="0"/>
        <v>0</v>
      </c>
    </row>
    <row r="19" spans="1:6" ht="25.2" customHeight="1">
      <c r="A19" s="118" t="s">
        <v>297</v>
      </c>
      <c r="B19" s="126" t="s">
        <v>298</v>
      </c>
      <c r="C19" s="118" t="s">
        <v>10</v>
      </c>
      <c r="D19" s="129">
        <f>55.96*0.15*0.2</f>
        <v>1.6788000000000001</v>
      </c>
      <c r="E19" s="244"/>
      <c r="F19" s="121">
        <f t="shared" si="0"/>
        <v>0</v>
      </c>
    </row>
    <row r="20" spans="1:6" ht="25.2" customHeight="1">
      <c r="A20" s="118" t="s">
        <v>299</v>
      </c>
      <c r="B20" s="126" t="s">
        <v>300</v>
      </c>
      <c r="C20" s="118" t="s">
        <v>10</v>
      </c>
      <c r="D20" s="118">
        <f>14*1.1*0.15*0.15</f>
        <v>0.34649999999999997</v>
      </c>
      <c r="E20" s="244"/>
      <c r="F20" s="121">
        <f t="shared" si="0"/>
        <v>0</v>
      </c>
    </row>
    <row r="21" spans="1:6" ht="25.2" customHeight="1">
      <c r="A21" s="118" t="s">
        <v>301</v>
      </c>
      <c r="B21" s="126" t="s">
        <v>374</v>
      </c>
      <c r="C21" s="118" t="s">
        <v>10</v>
      </c>
      <c r="D21" s="118">
        <f>9*9.98*0.1</f>
        <v>8.9820000000000011</v>
      </c>
      <c r="E21" s="244"/>
      <c r="F21" s="121">
        <f t="shared" si="0"/>
        <v>0</v>
      </c>
    </row>
    <row r="22" spans="1:6" ht="25.2" customHeight="1">
      <c r="A22" s="118" t="s">
        <v>302</v>
      </c>
      <c r="B22" s="126" t="s">
        <v>303</v>
      </c>
      <c r="C22" s="118" t="s">
        <v>4</v>
      </c>
      <c r="D22" s="118">
        <f>9*9.98</f>
        <v>89.820000000000007</v>
      </c>
      <c r="E22" s="244"/>
      <c r="F22" s="121">
        <f t="shared" si="0"/>
        <v>0</v>
      </c>
    </row>
    <row r="23" spans="1:6" ht="25.2" customHeight="1">
      <c r="A23" s="118" t="s">
        <v>302</v>
      </c>
      <c r="B23" s="126" t="s">
        <v>304</v>
      </c>
      <c r="C23" s="118" t="s">
        <v>9</v>
      </c>
      <c r="D23" s="118">
        <v>1</v>
      </c>
      <c r="E23" s="244"/>
      <c r="F23" s="121">
        <f t="shared" si="0"/>
        <v>0</v>
      </c>
    </row>
    <row r="24" spans="1:6" ht="25.2" customHeight="1">
      <c r="A24" s="118" t="s">
        <v>305</v>
      </c>
      <c r="B24" s="126" t="s">
        <v>306</v>
      </c>
      <c r="C24" s="118" t="s">
        <v>4</v>
      </c>
      <c r="D24" s="118">
        <f>7*8</f>
        <v>56</v>
      </c>
      <c r="E24" s="244"/>
      <c r="F24" s="121">
        <f t="shared" si="0"/>
        <v>0</v>
      </c>
    </row>
    <row r="25" spans="1:6" ht="25.2" customHeight="1">
      <c r="A25" s="124"/>
      <c r="B25" s="123" t="s">
        <v>307</v>
      </c>
      <c r="C25" s="124"/>
      <c r="D25" s="124"/>
      <c r="E25" s="245"/>
      <c r="F25" s="130">
        <f>SUM(F16:F24)</f>
        <v>0</v>
      </c>
    </row>
    <row r="26" spans="1:6" ht="25.2" customHeight="1">
      <c r="A26" s="119">
        <v>4</v>
      </c>
      <c r="B26" s="120" t="s">
        <v>308</v>
      </c>
      <c r="C26" s="118"/>
      <c r="D26" s="118"/>
      <c r="E26" s="244"/>
      <c r="F26" s="126"/>
    </row>
    <row r="27" spans="1:6" ht="25.2" customHeight="1">
      <c r="A27" s="118" t="s">
        <v>86</v>
      </c>
      <c r="B27" s="126" t="s">
        <v>309</v>
      </c>
      <c r="C27" s="118" t="s">
        <v>4</v>
      </c>
      <c r="D27" s="118">
        <f>(7.25*2*4+9*2*4)-(2.95*3+2.3+1.25)*1.58</f>
        <v>110.40799999999999</v>
      </c>
      <c r="E27" s="244"/>
      <c r="F27" s="121">
        <f t="shared" ref="F27:F34" si="1">D27*E27</f>
        <v>0</v>
      </c>
    </row>
    <row r="28" spans="1:6" ht="25.2" customHeight="1">
      <c r="A28" s="118" t="s">
        <v>86</v>
      </c>
      <c r="B28" s="126" t="s">
        <v>310</v>
      </c>
      <c r="C28" s="118" t="s">
        <v>4</v>
      </c>
      <c r="D28" s="118">
        <f>(2.95*3+2.3+1.25)*1.58</f>
        <v>19.592000000000006</v>
      </c>
      <c r="E28" s="244"/>
      <c r="F28" s="121">
        <f t="shared" si="1"/>
        <v>0</v>
      </c>
    </row>
    <row r="29" spans="1:6" ht="25.2" customHeight="1">
      <c r="A29" s="118" t="s">
        <v>86</v>
      </c>
      <c r="B29" s="126" t="s">
        <v>311</v>
      </c>
      <c r="C29" s="118" t="s">
        <v>9</v>
      </c>
      <c r="D29" s="118">
        <v>1</v>
      </c>
      <c r="E29" s="244"/>
      <c r="F29" s="121">
        <f t="shared" si="1"/>
        <v>0</v>
      </c>
    </row>
    <row r="30" spans="1:6" ht="25.2" customHeight="1">
      <c r="A30" s="118" t="s">
        <v>86</v>
      </c>
      <c r="B30" s="126" t="s">
        <v>312</v>
      </c>
      <c r="C30" s="118" t="s">
        <v>9</v>
      </c>
      <c r="D30" s="118">
        <v>1</v>
      </c>
      <c r="E30" s="244"/>
      <c r="F30" s="121">
        <f t="shared" si="1"/>
        <v>0</v>
      </c>
    </row>
    <row r="31" spans="1:6" ht="25.2" customHeight="1">
      <c r="A31" s="118" t="s">
        <v>313</v>
      </c>
      <c r="B31" s="126" t="s">
        <v>314</v>
      </c>
      <c r="C31" s="118" t="s">
        <v>10</v>
      </c>
      <c r="D31" s="118">
        <f>10*2.2*0.15*0.2</f>
        <v>0.66</v>
      </c>
      <c r="E31" s="244"/>
      <c r="F31" s="121">
        <f t="shared" si="1"/>
        <v>0</v>
      </c>
    </row>
    <row r="32" spans="1:6" ht="25.2" customHeight="1">
      <c r="A32" s="118" t="s">
        <v>313</v>
      </c>
      <c r="B32" s="126" t="s">
        <v>315</v>
      </c>
      <c r="C32" s="118" t="s">
        <v>10</v>
      </c>
      <c r="D32" s="118"/>
      <c r="E32" s="244"/>
      <c r="F32" s="121">
        <f t="shared" si="1"/>
        <v>0</v>
      </c>
    </row>
    <row r="33" spans="1:6" ht="43.2" customHeight="1">
      <c r="A33" s="118" t="s">
        <v>316</v>
      </c>
      <c r="B33" s="131" t="s">
        <v>317</v>
      </c>
      <c r="C33" s="118" t="s">
        <v>4</v>
      </c>
      <c r="D33" s="118">
        <f>26.3*3.3*2-1.4*3.3*2</f>
        <v>164.33999999999997</v>
      </c>
      <c r="E33" s="244"/>
      <c r="F33" s="121">
        <f t="shared" si="1"/>
        <v>0</v>
      </c>
    </row>
    <row r="34" spans="1:6" ht="25.2" customHeight="1">
      <c r="A34" s="118" t="s">
        <v>318</v>
      </c>
      <c r="B34" s="132" t="s">
        <v>368</v>
      </c>
      <c r="C34" s="133" t="s">
        <v>10</v>
      </c>
      <c r="D34" s="118">
        <f>5*1.4*0.03+3*1.4*0.03</f>
        <v>0.33599999999999997</v>
      </c>
      <c r="E34" s="244"/>
      <c r="F34" s="121">
        <f t="shared" si="1"/>
        <v>0</v>
      </c>
    </row>
    <row r="35" spans="1:6" ht="25.2" customHeight="1">
      <c r="A35" s="124"/>
      <c r="B35" s="123" t="s">
        <v>319</v>
      </c>
      <c r="C35" s="124"/>
      <c r="D35" s="124"/>
      <c r="E35" s="245"/>
      <c r="F35" s="125">
        <f>SUM(F27:F34)</f>
        <v>0</v>
      </c>
    </row>
    <row r="36" spans="1:6" ht="25.2" customHeight="1">
      <c r="A36" s="119">
        <v>5</v>
      </c>
      <c r="B36" s="120" t="s">
        <v>320</v>
      </c>
      <c r="C36" s="118"/>
      <c r="D36" s="133"/>
      <c r="E36" s="244"/>
      <c r="F36" s="121"/>
    </row>
    <row r="37" spans="1:6" ht="31.8" customHeight="1">
      <c r="A37" s="118" t="s">
        <v>48</v>
      </c>
      <c r="B37" s="131" t="s">
        <v>369</v>
      </c>
      <c r="C37" s="118" t="s">
        <v>10</v>
      </c>
      <c r="D37" s="118">
        <f>(7*8)/100</f>
        <v>0.56000000000000005</v>
      </c>
      <c r="E37" s="244"/>
      <c r="F37" s="121">
        <f>D37*E37</f>
        <v>0</v>
      </c>
    </row>
    <row r="38" spans="1:6" ht="25.2" customHeight="1">
      <c r="A38" s="118" t="s">
        <v>321</v>
      </c>
      <c r="B38" s="126" t="s">
        <v>322</v>
      </c>
      <c r="C38" s="118" t="s">
        <v>7</v>
      </c>
      <c r="D38" s="133">
        <f>(5*4+10*2)*0.4</f>
        <v>16</v>
      </c>
      <c r="E38" s="244"/>
      <c r="F38" s="121">
        <f>D38*E38</f>
        <v>0</v>
      </c>
    </row>
    <row r="39" spans="1:6" ht="25.2" customHeight="1">
      <c r="A39" s="118" t="s">
        <v>323</v>
      </c>
      <c r="B39" s="126" t="s">
        <v>370</v>
      </c>
      <c r="C39" s="118" t="s">
        <v>4</v>
      </c>
      <c r="D39" s="118">
        <f>5*10*2</f>
        <v>100</v>
      </c>
      <c r="E39" s="244"/>
      <c r="F39" s="121">
        <f>D39*E39</f>
        <v>0</v>
      </c>
    </row>
    <row r="40" spans="1:6" ht="25.2" customHeight="1">
      <c r="A40" s="118" t="s">
        <v>324</v>
      </c>
      <c r="B40" s="126" t="s">
        <v>325</v>
      </c>
      <c r="C40" s="118" t="s">
        <v>7</v>
      </c>
      <c r="D40" s="118">
        <v>10</v>
      </c>
      <c r="E40" s="244"/>
      <c r="F40" s="121">
        <f>D40*E40</f>
        <v>0</v>
      </c>
    </row>
    <row r="41" spans="1:6" ht="25.2" customHeight="1">
      <c r="A41" s="134"/>
      <c r="B41" s="135" t="s">
        <v>326</v>
      </c>
      <c r="C41" s="134"/>
      <c r="D41" s="134"/>
      <c r="E41" s="246"/>
      <c r="F41" s="136">
        <f>SUM(F37:F40)</f>
        <v>0</v>
      </c>
    </row>
    <row r="42" spans="1:6" ht="25.2" customHeight="1">
      <c r="A42" s="119">
        <v>6</v>
      </c>
      <c r="B42" s="120" t="s">
        <v>327</v>
      </c>
      <c r="C42" s="118"/>
      <c r="D42" s="137"/>
      <c r="E42" s="244"/>
      <c r="F42" s="121"/>
    </row>
    <row r="43" spans="1:6" ht="28.2" customHeight="1">
      <c r="A43" s="118" t="s">
        <v>48</v>
      </c>
      <c r="B43" s="131" t="s">
        <v>372</v>
      </c>
      <c r="C43" s="118" t="s">
        <v>9</v>
      </c>
      <c r="D43" s="118">
        <v>1</v>
      </c>
      <c r="E43" s="244"/>
      <c r="F43" s="121">
        <f>D43*E43</f>
        <v>0</v>
      </c>
    </row>
    <row r="44" spans="1:6" ht="28.2" customHeight="1">
      <c r="A44" s="118" t="s">
        <v>48</v>
      </c>
      <c r="B44" s="131" t="s">
        <v>373</v>
      </c>
      <c r="C44" s="118" t="s">
        <v>9</v>
      </c>
      <c r="D44" s="118">
        <v>1</v>
      </c>
      <c r="E44" s="244"/>
      <c r="F44" s="121">
        <f>D44*E44</f>
        <v>0</v>
      </c>
    </row>
    <row r="45" spans="1:6" ht="25.2" customHeight="1">
      <c r="A45" s="118" t="s">
        <v>321</v>
      </c>
      <c r="B45" s="131" t="s">
        <v>371</v>
      </c>
      <c r="C45" s="118" t="s">
        <v>9</v>
      </c>
      <c r="D45" s="137">
        <v>1</v>
      </c>
      <c r="E45" s="244"/>
      <c r="F45" s="121">
        <f>D45*E45</f>
        <v>0</v>
      </c>
    </row>
    <row r="46" spans="1:6" ht="25.2" customHeight="1">
      <c r="A46" s="124"/>
      <c r="B46" s="123" t="s">
        <v>328</v>
      </c>
      <c r="C46" s="124"/>
      <c r="D46" s="124"/>
      <c r="E46" s="245"/>
      <c r="F46" s="125">
        <f>SUM(F43:F45)</f>
        <v>0</v>
      </c>
    </row>
    <row r="47" spans="1:6" ht="25.2" customHeight="1">
      <c r="A47" s="119">
        <v>7</v>
      </c>
      <c r="B47" s="120" t="s">
        <v>329</v>
      </c>
      <c r="C47" s="138"/>
      <c r="D47" s="118"/>
      <c r="E47" s="244"/>
      <c r="F47" s="121"/>
    </row>
    <row r="48" spans="1:6" ht="25.2" customHeight="1">
      <c r="A48" s="118" t="s">
        <v>250</v>
      </c>
      <c r="B48" s="139" t="s">
        <v>330</v>
      </c>
      <c r="C48" s="133" t="s">
        <v>4</v>
      </c>
      <c r="D48" s="140">
        <f>(7.25*2+9.98*2)*1.5</f>
        <v>51.69</v>
      </c>
      <c r="E48" s="244"/>
      <c r="F48" s="121">
        <f>D48*E48</f>
        <v>0</v>
      </c>
    </row>
    <row r="49" spans="1:6" ht="25.2" customHeight="1">
      <c r="A49" s="118" t="s">
        <v>250</v>
      </c>
      <c r="B49" s="139" t="s">
        <v>331</v>
      </c>
      <c r="C49" s="133" t="s">
        <v>4</v>
      </c>
      <c r="D49" s="140">
        <f>(2.2*1.4+0.9*2.2+1.4*2)*2</f>
        <v>15.72</v>
      </c>
      <c r="E49" s="244"/>
      <c r="F49" s="121">
        <f>D49*E49</f>
        <v>0</v>
      </c>
    </row>
    <row r="50" spans="1:6" ht="25.2" customHeight="1">
      <c r="A50" s="118" t="s">
        <v>332</v>
      </c>
      <c r="B50" s="139" t="s">
        <v>333</v>
      </c>
      <c r="C50" s="133" t="s">
        <v>4</v>
      </c>
      <c r="D50" s="118">
        <f>D28*2</f>
        <v>39.184000000000012</v>
      </c>
      <c r="E50" s="244"/>
      <c r="F50" s="121">
        <f>D50*E50</f>
        <v>0</v>
      </c>
    </row>
    <row r="51" spans="1:6" ht="25.2" customHeight="1">
      <c r="A51" s="118" t="s">
        <v>334</v>
      </c>
      <c r="B51" s="139" t="s">
        <v>335</v>
      </c>
      <c r="C51" s="141" t="s">
        <v>4</v>
      </c>
      <c r="D51" s="118">
        <f>5*1.4*2</f>
        <v>14</v>
      </c>
      <c r="E51" s="244"/>
      <c r="F51" s="121">
        <f>D51*E51</f>
        <v>0</v>
      </c>
    </row>
    <row r="52" spans="1:6" ht="25.2" customHeight="1">
      <c r="A52" s="128"/>
      <c r="B52" s="123" t="s">
        <v>336</v>
      </c>
      <c r="C52" s="142"/>
      <c r="D52" s="143"/>
      <c r="E52" s="144"/>
      <c r="F52" s="145">
        <f>SUM(F48:F51)</f>
        <v>0</v>
      </c>
    </row>
    <row r="53" spans="1:6" s="148" customFormat="1" ht="25.2" customHeight="1">
      <c r="A53" s="146"/>
      <c r="B53" s="265" t="s">
        <v>337</v>
      </c>
      <c r="C53" s="266"/>
      <c r="D53" s="266"/>
      <c r="E53" s="267"/>
      <c r="F53" s="147">
        <f>F8+F14+F25+F35+F46+F52+F41</f>
        <v>0</v>
      </c>
    </row>
    <row r="54" spans="1:6" customFormat="1" ht="15" thickBot="1"/>
    <row r="55" spans="1:6" s="153" customFormat="1" ht="24" customHeight="1" thickBot="1">
      <c r="A55" s="149"/>
      <c r="B55" s="150" t="s">
        <v>267</v>
      </c>
      <c r="C55" s="247">
        <v>0.107</v>
      </c>
      <c r="D55" s="151"/>
      <c r="E55" s="150"/>
      <c r="F55" s="152">
        <f>F53*C55</f>
        <v>0</v>
      </c>
    </row>
    <row r="56" spans="1:6" s="155" customFormat="1" ht="24" customHeight="1" thickBot="1">
      <c r="A56" s="154"/>
      <c r="B56" s="154"/>
      <c r="D56" s="156"/>
      <c r="E56" s="156"/>
      <c r="F56" s="156"/>
    </row>
    <row r="57" spans="1:6" s="153" customFormat="1" ht="24" customHeight="1" thickBot="1">
      <c r="A57" s="149"/>
      <c r="B57" s="150" t="s">
        <v>338</v>
      </c>
      <c r="C57" s="157"/>
      <c r="D57" s="151"/>
      <c r="E57" s="150"/>
      <c r="F57" s="152">
        <f>(F53+F55)</f>
        <v>0</v>
      </c>
    </row>
    <row r="58" spans="1:6" s="1" customFormat="1" ht="15">
      <c r="A58" s="158"/>
      <c r="B58" s="158"/>
      <c r="D58" s="2"/>
      <c r="E58" s="2"/>
      <c r="F58" s="2"/>
    </row>
  </sheetData>
  <sheetProtection selectLockedCells="1"/>
  <mergeCells count="5">
    <mergeCell ref="A1:F1"/>
    <mergeCell ref="A2:F2"/>
    <mergeCell ref="A3:F3"/>
    <mergeCell ref="A4:F4"/>
    <mergeCell ref="B53:E53"/>
  </mergeCell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68D4-4D0F-4013-9FCB-B48B28ABD18A}">
  <sheetPr>
    <tabColor theme="0" tint="-0.14999847407452621"/>
  </sheetPr>
  <dimension ref="A7:H118"/>
  <sheetViews>
    <sheetView tabSelected="1" view="pageBreakPreview" topLeftCell="A94" zoomScaleNormal="100" zoomScaleSheetLayoutView="100" workbookViewId="0">
      <selection activeCell="J111" sqref="J111"/>
    </sheetView>
  </sheetViews>
  <sheetFormatPr baseColWidth="10" defaultRowHeight="14.4"/>
  <cols>
    <col min="1" max="1" width="11.5546875" style="209"/>
    <col min="2" max="2" width="61.21875" style="209" bestFit="1" customWidth="1"/>
    <col min="3" max="3" width="8.21875" style="209" customWidth="1"/>
    <col min="4" max="5" width="11.5546875" style="209"/>
    <col min="6" max="6" width="14.5546875" style="209" customWidth="1"/>
    <col min="7" max="16384" width="11.5546875" style="209"/>
  </cols>
  <sheetData>
    <row r="7" spans="1:8" s="108" customFormat="1" ht="37.799999999999997" customHeight="1">
      <c r="A7" s="268" t="s">
        <v>366</v>
      </c>
      <c r="B7" s="269"/>
      <c r="C7" s="269"/>
      <c r="D7" s="269"/>
      <c r="E7" s="269"/>
      <c r="F7" s="270"/>
    </row>
    <row r="8" spans="1:8" s="160" customFormat="1" ht="41.4">
      <c r="A8" s="96" t="s">
        <v>12</v>
      </c>
      <c r="B8" s="97" t="s">
        <v>8</v>
      </c>
      <c r="C8" s="98" t="s">
        <v>0</v>
      </c>
      <c r="D8" s="98" t="s">
        <v>2</v>
      </c>
      <c r="E8" s="159" t="s">
        <v>3</v>
      </c>
      <c r="F8" s="98" t="s">
        <v>1</v>
      </c>
    </row>
    <row r="9" spans="1:8" s="108" customFormat="1" ht="15">
      <c r="A9" s="161"/>
      <c r="B9" s="162"/>
      <c r="C9" s="163"/>
      <c r="D9" s="99"/>
      <c r="E9" s="164"/>
      <c r="F9" s="99"/>
    </row>
    <row r="10" spans="1:8" s="108" customFormat="1" ht="18" customHeight="1">
      <c r="A10" s="165" t="s">
        <v>13</v>
      </c>
      <c r="B10" s="166" t="s">
        <v>213</v>
      </c>
      <c r="C10" s="167"/>
      <c r="D10" s="168"/>
      <c r="E10" s="169"/>
      <c r="F10" s="168"/>
    </row>
    <row r="11" spans="1:8" s="108" customFormat="1" ht="18" customHeight="1">
      <c r="A11" s="112"/>
      <c r="B11" s="170"/>
      <c r="C11" s="103"/>
      <c r="D11" s="103"/>
      <c r="E11" s="164"/>
      <c r="F11" s="99"/>
    </row>
    <row r="12" spans="1:8" s="108" customFormat="1" ht="18" customHeight="1">
      <c r="A12" s="112" t="s">
        <v>214</v>
      </c>
      <c r="B12" s="171" t="s">
        <v>339</v>
      </c>
      <c r="C12" s="103" t="s">
        <v>340</v>
      </c>
      <c r="D12" s="103">
        <v>1</v>
      </c>
      <c r="E12" s="164"/>
      <c r="F12" s="99">
        <f>D12*E12</f>
        <v>0</v>
      </c>
    </row>
    <row r="13" spans="1:8" s="108" customFormat="1" ht="18" customHeight="1">
      <c r="A13" s="112" t="s">
        <v>215</v>
      </c>
      <c r="B13" s="171" t="s">
        <v>375</v>
      </c>
      <c r="C13" s="103" t="s">
        <v>9</v>
      </c>
      <c r="D13" s="103">
        <v>6</v>
      </c>
      <c r="E13" s="164"/>
      <c r="F13" s="99">
        <f>D13*E13</f>
        <v>0</v>
      </c>
    </row>
    <row r="14" spans="1:8" s="108" customFormat="1" ht="18" customHeight="1">
      <c r="A14" s="172"/>
      <c r="B14" s="173" t="s">
        <v>216</v>
      </c>
      <c r="C14" s="174"/>
      <c r="D14" s="174"/>
      <c r="E14" s="175"/>
      <c r="F14" s="100">
        <f>SUM(F12:F13)</f>
        <v>0</v>
      </c>
      <c r="H14" s="176"/>
    </row>
    <row r="15" spans="1:8" s="108" customFormat="1" ht="9.6" customHeight="1">
      <c r="A15" s="112"/>
      <c r="B15" s="170"/>
      <c r="C15" s="103"/>
      <c r="D15" s="103"/>
      <c r="E15" s="164"/>
      <c r="F15" s="99"/>
    </row>
    <row r="16" spans="1:8" s="108" customFormat="1" ht="17.399999999999999" hidden="1">
      <c r="A16" s="161"/>
      <c r="B16" s="177" t="s">
        <v>217</v>
      </c>
      <c r="C16" s="178"/>
      <c r="D16" s="179"/>
      <c r="E16" s="180"/>
      <c r="F16" s="101">
        <f>F14</f>
        <v>0</v>
      </c>
    </row>
    <row r="17" spans="1:6" s="108" customFormat="1" ht="15" hidden="1">
      <c r="A17" s="161"/>
      <c r="B17" s="162"/>
      <c r="C17" s="163"/>
      <c r="D17" s="99"/>
      <c r="E17" s="164"/>
      <c r="F17" s="99"/>
    </row>
    <row r="18" spans="1:6" s="108" customFormat="1" ht="15.6" hidden="1">
      <c r="A18" s="165" t="s">
        <v>14</v>
      </c>
      <c r="B18" s="166" t="s">
        <v>15</v>
      </c>
      <c r="C18" s="167"/>
      <c r="D18" s="168"/>
      <c r="E18" s="169"/>
      <c r="F18" s="168"/>
    </row>
    <row r="19" spans="1:6" s="108" customFormat="1" ht="17.25" hidden="1" customHeight="1">
      <c r="A19" s="112"/>
      <c r="B19" s="170"/>
      <c r="C19" s="103"/>
      <c r="D19" s="103"/>
      <c r="E19" s="181"/>
      <c r="F19" s="99"/>
    </row>
    <row r="20" spans="1:6" s="108" customFormat="1" ht="17.25" hidden="1" customHeight="1">
      <c r="A20" s="112" t="s">
        <v>71</v>
      </c>
      <c r="B20" s="182" t="s">
        <v>218</v>
      </c>
      <c r="C20" s="103"/>
      <c r="D20" s="103"/>
      <c r="E20" s="164"/>
      <c r="F20" s="99"/>
    </row>
    <row r="21" spans="1:6" s="108" customFormat="1" ht="15.6" hidden="1">
      <c r="A21" s="112" t="s">
        <v>219</v>
      </c>
      <c r="B21" s="183" t="s">
        <v>19</v>
      </c>
      <c r="C21" s="103"/>
      <c r="D21" s="103"/>
      <c r="E21" s="164"/>
      <c r="F21" s="99"/>
    </row>
    <row r="22" spans="1:6" s="108" customFormat="1" ht="18" hidden="1" customHeight="1">
      <c r="A22" s="112" t="s">
        <v>220</v>
      </c>
      <c r="B22" s="171" t="s">
        <v>221</v>
      </c>
      <c r="C22" s="103" t="s">
        <v>4</v>
      </c>
      <c r="D22" s="103">
        <f>(2*4+3*2)*2.85</f>
        <v>39.9</v>
      </c>
      <c r="E22" s="164"/>
      <c r="F22" s="99">
        <f>D22*E22</f>
        <v>0</v>
      </c>
    </row>
    <row r="23" spans="1:6" s="108" customFormat="1" ht="18" hidden="1" customHeight="1">
      <c r="A23" s="112" t="s">
        <v>222</v>
      </c>
      <c r="B23" s="171" t="s">
        <v>223</v>
      </c>
      <c r="C23" s="103"/>
      <c r="D23" s="103"/>
      <c r="E23" s="164"/>
      <c r="F23" s="99"/>
    </row>
    <row r="24" spans="1:6" s="108" customFormat="1" ht="18" hidden="1" customHeight="1">
      <c r="A24" s="112"/>
      <c r="B24" s="171" t="s">
        <v>20</v>
      </c>
      <c r="C24" s="103" t="s">
        <v>10</v>
      </c>
      <c r="D24" s="103">
        <f>8*0.15*0.2*2.85</f>
        <v>0.68399999999999994</v>
      </c>
      <c r="E24" s="164"/>
      <c r="F24" s="99">
        <f>D24*E24</f>
        <v>0</v>
      </c>
    </row>
    <row r="25" spans="1:6" s="108" customFormat="1" ht="18" hidden="1" customHeight="1">
      <c r="A25" s="112"/>
      <c r="B25" s="171" t="s">
        <v>58</v>
      </c>
      <c r="C25" s="103" t="s">
        <v>23</v>
      </c>
      <c r="D25" s="103">
        <f>D24*70</f>
        <v>47.879999999999995</v>
      </c>
      <c r="E25" s="164"/>
      <c r="F25" s="99">
        <f>D25*E25</f>
        <v>0</v>
      </c>
    </row>
    <row r="26" spans="1:6" s="108" customFormat="1" ht="18" hidden="1" customHeight="1">
      <c r="A26" s="112"/>
      <c r="B26" s="171" t="s">
        <v>21</v>
      </c>
      <c r="C26" s="103" t="s">
        <v>4</v>
      </c>
      <c r="D26" s="103">
        <f>D24*12</f>
        <v>8.2079999999999984</v>
      </c>
      <c r="E26" s="164"/>
      <c r="F26" s="99">
        <f>D26*E26</f>
        <v>0</v>
      </c>
    </row>
    <row r="27" spans="1:6" s="108" customFormat="1" ht="18" hidden="1" customHeight="1">
      <c r="A27" s="112"/>
      <c r="B27" s="171" t="s">
        <v>341</v>
      </c>
      <c r="C27" s="103" t="s">
        <v>4</v>
      </c>
      <c r="D27" s="103">
        <f>(2*6+3*2)*2.85</f>
        <v>51.300000000000004</v>
      </c>
      <c r="E27" s="164"/>
      <c r="F27" s="99">
        <f>D27*E27</f>
        <v>0</v>
      </c>
    </row>
    <row r="28" spans="1:6" s="108" customFormat="1" ht="18" hidden="1" customHeight="1">
      <c r="A28" s="112" t="s">
        <v>224</v>
      </c>
      <c r="B28" s="184" t="s">
        <v>225</v>
      </c>
      <c r="C28" s="103"/>
      <c r="D28" s="103"/>
      <c r="E28" s="164"/>
      <c r="F28" s="99"/>
    </row>
    <row r="29" spans="1:6" s="108" customFormat="1" ht="18" hidden="1" customHeight="1">
      <c r="A29" s="112"/>
      <c r="B29" s="171" t="s">
        <v>20</v>
      </c>
      <c r="C29" s="103" t="s">
        <v>10</v>
      </c>
      <c r="D29" s="103">
        <v>3</v>
      </c>
      <c r="E29" s="164"/>
      <c r="F29" s="99">
        <f>D29*E29</f>
        <v>0</v>
      </c>
    </row>
    <row r="30" spans="1:6" s="108" customFormat="1" ht="18" hidden="1" customHeight="1">
      <c r="A30" s="112"/>
      <c r="B30" s="171" t="s">
        <v>226</v>
      </c>
      <c r="C30" s="103" t="s">
        <v>23</v>
      </c>
      <c r="D30" s="103">
        <f>D29*12</f>
        <v>36</v>
      </c>
      <c r="E30" s="164"/>
      <c r="F30" s="99">
        <f>D30*E30</f>
        <v>0</v>
      </c>
    </row>
    <row r="31" spans="1:6" s="108" customFormat="1" ht="18" hidden="1" customHeight="1">
      <c r="A31" s="112" t="s">
        <v>227</v>
      </c>
      <c r="B31" s="184" t="s">
        <v>342</v>
      </c>
      <c r="C31" s="103"/>
      <c r="D31" s="103"/>
      <c r="E31" s="164"/>
      <c r="F31" s="99"/>
    </row>
    <row r="32" spans="1:6" s="108" customFormat="1" ht="18" hidden="1" customHeight="1">
      <c r="A32" s="112"/>
      <c r="B32" s="171" t="s">
        <v>228</v>
      </c>
      <c r="C32" s="103" t="s">
        <v>10</v>
      </c>
      <c r="D32" s="103">
        <f>2*3.5*0.1</f>
        <v>0.70000000000000007</v>
      </c>
      <c r="E32" s="164"/>
      <c r="F32" s="99">
        <f>D32*E32</f>
        <v>0</v>
      </c>
    </row>
    <row r="33" spans="1:6" s="108" customFormat="1" ht="18" hidden="1" customHeight="1">
      <c r="A33" s="112"/>
      <c r="B33" s="171" t="s">
        <v>229</v>
      </c>
      <c r="C33" s="103" t="s">
        <v>23</v>
      </c>
      <c r="D33" s="103">
        <f>D32*80</f>
        <v>56.000000000000007</v>
      </c>
      <c r="E33" s="164"/>
      <c r="F33" s="99">
        <f>D33*E33</f>
        <v>0</v>
      </c>
    </row>
    <row r="34" spans="1:6" s="108" customFormat="1" ht="18" hidden="1" customHeight="1">
      <c r="A34" s="112"/>
      <c r="B34" s="171" t="s">
        <v>230</v>
      </c>
      <c r="C34" s="103" t="s">
        <v>4</v>
      </c>
      <c r="D34" s="103">
        <f>D32*12</f>
        <v>8.4</v>
      </c>
      <c r="E34" s="164"/>
      <c r="F34" s="99">
        <f>D34*E34</f>
        <v>0</v>
      </c>
    </row>
    <row r="35" spans="1:6" s="108" customFormat="1" ht="18" hidden="1" customHeight="1">
      <c r="A35" s="112" t="s">
        <v>343</v>
      </c>
      <c r="B35" s="171" t="s">
        <v>344</v>
      </c>
      <c r="C35" s="103" t="s">
        <v>4</v>
      </c>
      <c r="D35" s="103">
        <f>2*3</f>
        <v>6</v>
      </c>
      <c r="E35" s="164"/>
      <c r="F35" s="99">
        <f>D35*E35</f>
        <v>0</v>
      </c>
    </row>
    <row r="36" spans="1:6" s="108" customFormat="1" ht="17.25" hidden="1" customHeight="1">
      <c r="A36" s="112" t="s">
        <v>231</v>
      </c>
      <c r="B36" s="171" t="s">
        <v>25</v>
      </c>
      <c r="C36" s="185"/>
      <c r="D36" s="185"/>
      <c r="E36" s="181"/>
      <c r="F36" s="99"/>
    </row>
    <row r="37" spans="1:6" s="108" customFormat="1" ht="17.25" hidden="1" customHeight="1">
      <c r="A37" s="112" t="s">
        <v>232</v>
      </c>
      <c r="B37" s="184" t="s">
        <v>345</v>
      </c>
      <c r="C37" s="103" t="s">
        <v>4</v>
      </c>
      <c r="D37" s="103">
        <f>(2*4+3*2)*2.5-(0.7*1.8*3+0.6*0.6*3)+3.5*2</f>
        <v>37.14</v>
      </c>
      <c r="E37" s="181"/>
      <c r="F37" s="99">
        <f>D37*E37</f>
        <v>0</v>
      </c>
    </row>
    <row r="38" spans="1:6" s="108" customFormat="1" ht="17.25" hidden="1" customHeight="1">
      <c r="A38" s="112" t="s">
        <v>233</v>
      </c>
      <c r="B38" s="184" t="s">
        <v>234</v>
      </c>
      <c r="C38" s="103"/>
      <c r="D38" s="103"/>
      <c r="E38" s="181"/>
      <c r="F38" s="99"/>
    </row>
    <row r="39" spans="1:6" s="108" customFormat="1" ht="17.25" hidden="1" customHeight="1">
      <c r="A39" s="112"/>
      <c r="B39" s="171" t="s">
        <v>20</v>
      </c>
      <c r="C39" s="103" t="s">
        <v>10</v>
      </c>
      <c r="D39" s="103">
        <f>0.15*0.15*8*2.5</f>
        <v>0.44999999999999996</v>
      </c>
      <c r="E39" s="181"/>
      <c r="F39" s="99">
        <f>D39*E39</f>
        <v>0</v>
      </c>
    </row>
    <row r="40" spans="1:6" s="108" customFormat="1" ht="17.25" hidden="1" customHeight="1">
      <c r="A40" s="112"/>
      <c r="B40" s="171" t="s">
        <v>22</v>
      </c>
      <c r="C40" s="103" t="s">
        <v>23</v>
      </c>
      <c r="D40" s="103">
        <f>D39*80</f>
        <v>36</v>
      </c>
      <c r="E40" s="181"/>
      <c r="F40" s="99">
        <f>D40*E40</f>
        <v>0</v>
      </c>
    </row>
    <row r="41" spans="1:6" s="108" customFormat="1" ht="17.25" hidden="1" customHeight="1">
      <c r="A41" s="112"/>
      <c r="B41" s="171" t="s">
        <v>21</v>
      </c>
      <c r="C41" s="103" t="s">
        <v>4</v>
      </c>
      <c r="D41" s="103">
        <f>D39*12</f>
        <v>5.3999999999999995</v>
      </c>
      <c r="E41" s="181"/>
      <c r="F41" s="99">
        <f>D41*E41</f>
        <v>0</v>
      </c>
    </row>
    <row r="42" spans="1:6" s="108" customFormat="1" ht="17.25" hidden="1" customHeight="1">
      <c r="A42" s="112" t="s">
        <v>235</v>
      </c>
      <c r="B42" s="184" t="s">
        <v>236</v>
      </c>
      <c r="C42" s="103"/>
      <c r="D42" s="103"/>
      <c r="E42" s="181"/>
      <c r="F42" s="99"/>
    </row>
    <row r="43" spans="1:6" s="108" customFormat="1" ht="17.25" hidden="1" customHeight="1">
      <c r="A43" s="112"/>
      <c r="B43" s="171" t="s">
        <v>20</v>
      </c>
      <c r="C43" s="103" t="s">
        <v>10</v>
      </c>
      <c r="D43" s="103">
        <f>14*0.2*0.2</f>
        <v>0.56000000000000005</v>
      </c>
      <c r="E43" s="181"/>
      <c r="F43" s="99">
        <f t="shared" ref="F43:F54" si="0">D43*E43</f>
        <v>0</v>
      </c>
    </row>
    <row r="44" spans="1:6" s="108" customFormat="1" ht="17.25" hidden="1" customHeight="1">
      <c r="A44" s="112"/>
      <c r="B44" s="171" t="s">
        <v>22</v>
      </c>
      <c r="C44" s="103" t="s">
        <v>23</v>
      </c>
      <c r="D44" s="103">
        <f>D43*80</f>
        <v>44.800000000000004</v>
      </c>
      <c r="E44" s="181"/>
      <c r="F44" s="99">
        <f t="shared" si="0"/>
        <v>0</v>
      </c>
    </row>
    <row r="45" spans="1:6" s="108" customFormat="1" ht="17.25" hidden="1" customHeight="1">
      <c r="A45" s="112"/>
      <c r="B45" s="171" t="s">
        <v>21</v>
      </c>
      <c r="C45" s="103" t="s">
        <v>4</v>
      </c>
      <c r="D45" s="103">
        <f>D43*12</f>
        <v>6.7200000000000006</v>
      </c>
      <c r="E45" s="181"/>
      <c r="F45" s="99">
        <f t="shared" si="0"/>
        <v>0</v>
      </c>
    </row>
    <row r="46" spans="1:6" s="108" customFormat="1" ht="17.25" hidden="1" customHeight="1">
      <c r="A46" s="112" t="s">
        <v>237</v>
      </c>
      <c r="B46" s="171" t="s">
        <v>32</v>
      </c>
      <c r="C46" s="103"/>
      <c r="D46" s="103"/>
      <c r="E46" s="181"/>
      <c r="F46" s="99"/>
    </row>
    <row r="47" spans="1:6" s="108" customFormat="1" ht="17.25" hidden="1" customHeight="1">
      <c r="A47" s="112"/>
      <c r="B47" s="171" t="s">
        <v>346</v>
      </c>
      <c r="C47" s="103" t="s">
        <v>4</v>
      </c>
      <c r="D47" s="103">
        <f>(D37*2)-(0.7*2.2*3+0.6*0.6*3)</f>
        <v>68.58</v>
      </c>
      <c r="E47" s="181"/>
      <c r="F47" s="99">
        <f t="shared" si="0"/>
        <v>0</v>
      </c>
    </row>
    <row r="48" spans="1:6" s="108" customFormat="1" ht="17.25" hidden="1" customHeight="1">
      <c r="A48" s="112"/>
      <c r="B48" s="171" t="s">
        <v>347</v>
      </c>
      <c r="C48" s="103" t="s">
        <v>4</v>
      </c>
      <c r="D48" s="103">
        <v>43.72</v>
      </c>
      <c r="E48" s="181"/>
      <c r="F48" s="99">
        <f t="shared" si="0"/>
        <v>0</v>
      </c>
    </row>
    <row r="49" spans="1:6" s="108" customFormat="1" ht="17.25" hidden="1" customHeight="1">
      <c r="A49" s="112" t="s">
        <v>238</v>
      </c>
      <c r="B49" s="171" t="s">
        <v>239</v>
      </c>
      <c r="C49" s="103" t="s">
        <v>240</v>
      </c>
      <c r="D49" s="103">
        <f>0.6*0.6*3</f>
        <v>1.08</v>
      </c>
      <c r="E49" s="181"/>
      <c r="F49" s="99">
        <f t="shared" si="0"/>
        <v>0</v>
      </c>
    </row>
    <row r="50" spans="1:6" s="108" customFormat="1" ht="17.25" hidden="1" customHeight="1">
      <c r="A50" s="112" t="s">
        <v>241</v>
      </c>
      <c r="B50" s="186" t="s">
        <v>33</v>
      </c>
      <c r="C50" s="103"/>
      <c r="D50" s="103"/>
      <c r="E50" s="181"/>
      <c r="F50" s="99"/>
    </row>
    <row r="51" spans="1:6" s="108" customFormat="1" ht="17.25" hidden="1" customHeight="1">
      <c r="A51" s="112" t="s">
        <v>17</v>
      </c>
      <c r="B51" s="186" t="s">
        <v>34</v>
      </c>
      <c r="C51" s="103"/>
      <c r="D51" s="103"/>
      <c r="E51" s="181"/>
      <c r="F51" s="99"/>
    </row>
    <row r="52" spans="1:6" s="108" customFormat="1" ht="17.25" hidden="1" customHeight="1">
      <c r="A52" s="112" t="s">
        <v>74</v>
      </c>
      <c r="B52" s="171" t="s">
        <v>242</v>
      </c>
      <c r="C52" s="103" t="s">
        <v>9</v>
      </c>
      <c r="D52" s="103">
        <v>2</v>
      </c>
      <c r="E52" s="181"/>
      <c r="F52" s="99">
        <f t="shared" si="0"/>
        <v>0</v>
      </c>
    </row>
    <row r="53" spans="1:6" s="108" customFormat="1" ht="17.25" hidden="1" customHeight="1">
      <c r="A53" s="112" t="s">
        <v>30</v>
      </c>
      <c r="B53" s="186" t="s">
        <v>35</v>
      </c>
      <c r="C53" s="103"/>
      <c r="D53" s="103"/>
      <c r="E53" s="181"/>
      <c r="F53" s="99"/>
    </row>
    <row r="54" spans="1:6" s="108" customFormat="1" ht="17.25" hidden="1" customHeight="1">
      <c r="A54" s="112" t="s">
        <v>31</v>
      </c>
      <c r="B54" s="171" t="s">
        <v>61</v>
      </c>
      <c r="C54" s="103" t="s">
        <v>9</v>
      </c>
      <c r="D54" s="103">
        <v>0</v>
      </c>
      <c r="E54" s="181"/>
      <c r="F54" s="99">
        <f t="shared" si="0"/>
        <v>0</v>
      </c>
    </row>
    <row r="55" spans="1:6" s="108" customFormat="1" ht="17.25" hidden="1" customHeight="1">
      <c r="A55" s="172"/>
      <c r="B55" s="187" t="s">
        <v>36</v>
      </c>
      <c r="C55" s="188"/>
      <c r="D55" s="189"/>
      <c r="E55" s="175"/>
      <c r="F55" s="100">
        <f>SUM(F22:F54)</f>
        <v>0</v>
      </c>
    </row>
    <row r="56" spans="1:6" s="108" customFormat="1" ht="15.6" hidden="1">
      <c r="A56" s="112"/>
      <c r="B56" s="102"/>
      <c r="C56" s="163"/>
      <c r="D56" s="99"/>
      <c r="E56" s="164"/>
      <c r="F56" s="99"/>
    </row>
    <row r="57" spans="1:6" s="108" customFormat="1" ht="18.600000000000001" hidden="1" customHeight="1">
      <c r="A57" s="112"/>
      <c r="B57" s="106" t="s">
        <v>37</v>
      </c>
      <c r="C57" s="178"/>
      <c r="D57" s="179"/>
      <c r="E57" s="180"/>
      <c r="F57" s="101">
        <f>F55</f>
        <v>0</v>
      </c>
    </row>
    <row r="58" spans="1:6" s="108" customFormat="1" ht="15.6" hidden="1">
      <c r="A58" s="112"/>
      <c r="B58" s="190"/>
      <c r="C58" s="163"/>
      <c r="D58" s="99"/>
      <c r="E58" s="164"/>
      <c r="F58" s="99"/>
    </row>
    <row r="59" spans="1:6" s="108" customFormat="1" ht="15.6" hidden="1">
      <c r="A59" s="165" t="s">
        <v>18</v>
      </c>
      <c r="B59" s="166" t="s">
        <v>348</v>
      </c>
      <c r="C59" s="167"/>
      <c r="D59" s="168"/>
      <c r="E59" s="169"/>
      <c r="F59" s="168"/>
    </row>
    <row r="60" spans="1:6" s="108" customFormat="1" ht="15" hidden="1">
      <c r="A60" s="112" t="s">
        <v>83</v>
      </c>
      <c r="B60" s="171" t="s">
        <v>349</v>
      </c>
      <c r="C60" s="103" t="s">
        <v>9</v>
      </c>
      <c r="D60" s="103">
        <v>0</v>
      </c>
      <c r="E60" s="164"/>
      <c r="F60" s="99">
        <f>D60*E60</f>
        <v>0</v>
      </c>
    </row>
    <row r="61" spans="1:6" s="108" customFormat="1" ht="17.399999999999999" hidden="1">
      <c r="A61" s="161"/>
      <c r="B61" s="106" t="s">
        <v>350</v>
      </c>
      <c r="C61" s="178"/>
      <c r="D61" s="179"/>
      <c r="E61" s="180"/>
      <c r="F61" s="101">
        <f>SUM(F60:F60)</f>
        <v>0</v>
      </c>
    </row>
    <row r="62" spans="1:6" s="108" customFormat="1" ht="15.6" hidden="1">
      <c r="A62" s="161"/>
      <c r="B62" s="190"/>
      <c r="C62" s="163"/>
      <c r="D62" s="99"/>
      <c r="E62" s="164"/>
      <c r="F62" s="99"/>
    </row>
    <row r="63" spans="1:6" s="108" customFormat="1" ht="15.6" hidden="1">
      <c r="A63" s="165" t="s">
        <v>40</v>
      </c>
      <c r="B63" s="166" t="s">
        <v>38</v>
      </c>
      <c r="C63" s="167"/>
      <c r="D63" s="168"/>
      <c r="E63" s="169"/>
      <c r="F63" s="168"/>
    </row>
    <row r="64" spans="1:6" s="108" customFormat="1" ht="15" hidden="1">
      <c r="A64" s="112" t="s">
        <v>86</v>
      </c>
      <c r="B64" s="191" t="s">
        <v>243</v>
      </c>
      <c r="C64" s="103" t="s">
        <v>7</v>
      </c>
      <c r="D64" s="103">
        <v>26.8</v>
      </c>
      <c r="E64" s="164"/>
      <c r="F64" s="99">
        <f>D64*E64</f>
        <v>0</v>
      </c>
    </row>
    <row r="65" spans="1:6" s="108" customFormat="1" ht="17.399999999999999" hidden="1">
      <c r="A65" s="161"/>
      <c r="B65" s="106" t="s">
        <v>39</v>
      </c>
      <c r="C65" s="178"/>
      <c r="D65" s="179"/>
      <c r="E65" s="180"/>
      <c r="F65" s="101">
        <f>SUM(F64:F64)</f>
        <v>0</v>
      </c>
    </row>
    <row r="66" spans="1:6" s="108" customFormat="1" ht="15.6" hidden="1">
      <c r="A66" s="161"/>
      <c r="B66" s="190"/>
      <c r="C66" s="163"/>
      <c r="D66" s="99"/>
      <c r="E66" s="164"/>
      <c r="F66" s="99"/>
    </row>
    <row r="67" spans="1:6" s="108" customFormat="1" ht="15.6" hidden="1">
      <c r="A67" s="165" t="s">
        <v>46</v>
      </c>
      <c r="B67" s="166" t="s">
        <v>41</v>
      </c>
      <c r="C67" s="167"/>
      <c r="D67" s="168"/>
      <c r="E67" s="169"/>
      <c r="F67" s="168"/>
    </row>
    <row r="68" spans="1:6" s="108" customFormat="1" ht="15" hidden="1">
      <c r="A68" s="112" t="s">
        <v>48</v>
      </c>
      <c r="B68" s="191" t="s">
        <v>42</v>
      </c>
      <c r="C68" s="163"/>
      <c r="D68" s="99"/>
      <c r="E68" s="164"/>
      <c r="F68" s="99"/>
    </row>
    <row r="69" spans="1:6" s="108" customFormat="1" ht="15.6" hidden="1">
      <c r="A69" s="112" t="s">
        <v>49</v>
      </c>
      <c r="B69" s="192" t="s">
        <v>43</v>
      </c>
      <c r="C69" s="163"/>
      <c r="D69" s="99"/>
      <c r="E69" s="164"/>
      <c r="F69" s="99"/>
    </row>
    <row r="70" spans="1:6" s="108" customFormat="1" ht="15" hidden="1">
      <c r="A70" s="112" t="s">
        <v>244</v>
      </c>
      <c r="B70" s="171" t="s">
        <v>351</v>
      </c>
      <c r="C70" s="103" t="s">
        <v>4</v>
      </c>
      <c r="D70" s="103">
        <v>25</v>
      </c>
      <c r="E70" s="164"/>
      <c r="F70" s="99">
        <f>D70*E70</f>
        <v>0</v>
      </c>
    </row>
    <row r="71" spans="1:6" s="108" customFormat="1" ht="15.6" hidden="1">
      <c r="A71" s="112" t="s">
        <v>245</v>
      </c>
      <c r="B71" s="192" t="s">
        <v>44</v>
      </c>
      <c r="C71" s="185"/>
      <c r="D71" s="185"/>
      <c r="E71" s="164"/>
      <c r="F71" s="99"/>
    </row>
    <row r="72" spans="1:6" s="108" customFormat="1" ht="15" hidden="1">
      <c r="A72" s="112" t="s">
        <v>246</v>
      </c>
      <c r="B72" s="171" t="s">
        <v>352</v>
      </c>
      <c r="C72" s="103" t="s">
        <v>4</v>
      </c>
      <c r="D72" s="103">
        <f>22*0.4</f>
        <v>8.8000000000000007</v>
      </c>
      <c r="E72" s="164"/>
      <c r="F72" s="99">
        <f>D72*E72</f>
        <v>0</v>
      </c>
    </row>
    <row r="73" spans="1:6" s="108" customFormat="1" ht="15.6" hidden="1">
      <c r="A73" s="112" t="s">
        <v>247</v>
      </c>
      <c r="B73" s="192" t="s">
        <v>353</v>
      </c>
      <c r="C73" s="103"/>
      <c r="D73" s="103"/>
      <c r="E73" s="164"/>
      <c r="F73" s="99"/>
    </row>
    <row r="74" spans="1:6" s="108" customFormat="1" ht="15" hidden="1">
      <c r="A74" s="112" t="s">
        <v>248</v>
      </c>
      <c r="B74" s="171" t="s">
        <v>249</v>
      </c>
      <c r="C74" s="103" t="s">
        <v>9</v>
      </c>
      <c r="D74" s="103"/>
      <c r="E74" s="164"/>
      <c r="F74" s="99">
        <f>D74*E74</f>
        <v>0</v>
      </c>
    </row>
    <row r="75" spans="1:6" s="108" customFormat="1" ht="17.25" hidden="1" customHeight="1">
      <c r="A75" s="161"/>
      <c r="B75" s="106" t="s">
        <v>45</v>
      </c>
      <c r="C75" s="178"/>
      <c r="D75" s="179"/>
      <c r="E75" s="180"/>
      <c r="F75" s="101">
        <f>SUM(F70:F74)</f>
        <v>0</v>
      </c>
    </row>
    <row r="76" spans="1:6" s="176" customFormat="1" ht="17.25" hidden="1" customHeight="1">
      <c r="A76" s="161"/>
      <c r="B76" s="190"/>
      <c r="C76" s="163"/>
      <c r="D76" s="99"/>
      <c r="E76" s="164"/>
      <c r="F76" s="99"/>
    </row>
    <row r="77" spans="1:6" s="108" customFormat="1" ht="15.6" hidden="1">
      <c r="A77" s="165" t="s">
        <v>52</v>
      </c>
      <c r="B77" s="166" t="s">
        <v>47</v>
      </c>
      <c r="C77" s="167"/>
      <c r="D77" s="168"/>
      <c r="E77" s="169"/>
      <c r="F77" s="168"/>
    </row>
    <row r="78" spans="1:6" s="108" customFormat="1" ht="15.6" hidden="1">
      <c r="A78" s="193" t="s">
        <v>250</v>
      </c>
      <c r="B78" s="194" t="s">
        <v>50</v>
      </c>
      <c r="C78" s="103"/>
      <c r="D78" s="103"/>
      <c r="E78" s="164"/>
      <c r="F78" s="99"/>
    </row>
    <row r="79" spans="1:6" s="108" customFormat="1" ht="15" hidden="1">
      <c r="A79" s="193" t="s">
        <v>251</v>
      </c>
      <c r="B79" s="191" t="s">
        <v>354</v>
      </c>
      <c r="C79" s="103" t="s">
        <v>4</v>
      </c>
      <c r="D79" s="103">
        <v>0.34</v>
      </c>
      <c r="E79" s="164"/>
      <c r="F79" s="99">
        <f>D79*E79</f>
        <v>0</v>
      </c>
    </row>
    <row r="80" spans="1:6" s="108" customFormat="1" ht="18" hidden="1" customHeight="1">
      <c r="A80" s="161"/>
      <c r="B80" s="106" t="s">
        <v>51</v>
      </c>
      <c r="C80" s="178"/>
      <c r="D80" s="179"/>
      <c r="E80" s="180"/>
      <c r="F80" s="101">
        <f>SUM(F79)</f>
        <v>0</v>
      </c>
    </row>
    <row r="81" spans="1:6" s="108" customFormat="1" ht="10.8" hidden="1" customHeight="1">
      <c r="A81" s="112"/>
      <c r="B81" s="195"/>
      <c r="C81" s="163"/>
      <c r="D81" s="99"/>
      <c r="E81" s="164"/>
      <c r="F81" s="99"/>
    </row>
    <row r="82" spans="1:6" s="108" customFormat="1" ht="15.6">
      <c r="A82" s="165" t="s">
        <v>68</v>
      </c>
      <c r="B82" s="166" t="s">
        <v>54</v>
      </c>
      <c r="C82" s="167"/>
      <c r="D82" s="168"/>
      <c r="E82" s="169"/>
      <c r="F82" s="168"/>
    </row>
    <row r="83" spans="1:6" s="108" customFormat="1" ht="15.6">
      <c r="A83" s="112" t="s">
        <v>91</v>
      </c>
      <c r="B83" s="192" t="s">
        <v>355</v>
      </c>
      <c r="C83" s="163"/>
      <c r="D83" s="99"/>
      <c r="E83" s="164"/>
      <c r="F83" s="99"/>
    </row>
    <row r="84" spans="1:6" s="108" customFormat="1" ht="15">
      <c r="A84" s="112" t="s">
        <v>97</v>
      </c>
      <c r="B84" s="171" t="s">
        <v>252</v>
      </c>
      <c r="C84" s="163"/>
      <c r="D84" s="99"/>
      <c r="E84" s="164"/>
      <c r="F84" s="99"/>
    </row>
    <row r="85" spans="1:6" s="108" customFormat="1" ht="15">
      <c r="A85" s="112"/>
      <c r="B85" s="171" t="s">
        <v>253</v>
      </c>
      <c r="C85" s="103" t="s">
        <v>9</v>
      </c>
      <c r="D85" s="103">
        <v>6</v>
      </c>
      <c r="E85" s="164"/>
      <c r="F85" s="99">
        <f>D85*E85</f>
        <v>0</v>
      </c>
    </row>
    <row r="86" spans="1:6" s="108" customFormat="1" ht="15">
      <c r="A86" s="112"/>
      <c r="B86" s="171" t="s">
        <v>356</v>
      </c>
      <c r="C86" s="103" t="s">
        <v>9</v>
      </c>
      <c r="D86" s="103">
        <v>3</v>
      </c>
      <c r="E86" s="164"/>
      <c r="F86" s="99">
        <f>D86*E86</f>
        <v>0</v>
      </c>
    </row>
    <row r="87" spans="1:6" s="108" customFormat="1" ht="17.399999999999999" customHeight="1">
      <c r="A87" s="105"/>
      <c r="B87" s="106" t="s">
        <v>55</v>
      </c>
      <c r="C87" s="107"/>
      <c r="D87" s="179"/>
      <c r="E87" s="180"/>
      <c r="F87" s="101">
        <f>SUM(F85:F86)</f>
        <v>0</v>
      </c>
    </row>
    <row r="88" spans="1:6" s="108" customFormat="1" ht="10.8" customHeight="1">
      <c r="A88" s="105"/>
      <c r="B88" s="162"/>
      <c r="C88" s="103"/>
      <c r="D88" s="99"/>
      <c r="E88" s="164"/>
      <c r="F88" s="99"/>
    </row>
    <row r="89" spans="1:6" s="108" customFormat="1" ht="15.6">
      <c r="A89" s="165" t="s">
        <v>53</v>
      </c>
      <c r="B89" s="166" t="s">
        <v>254</v>
      </c>
      <c r="C89" s="167"/>
      <c r="D89" s="168"/>
      <c r="E89" s="169"/>
      <c r="F89" s="168"/>
    </row>
    <row r="90" spans="1:6" s="108" customFormat="1" ht="15.6">
      <c r="A90" s="112" t="s">
        <v>255</v>
      </c>
      <c r="B90" s="192" t="s">
        <v>256</v>
      </c>
      <c r="C90" s="103"/>
      <c r="D90" s="99"/>
      <c r="E90" s="164"/>
      <c r="F90" s="99"/>
    </row>
    <row r="91" spans="1:6" s="108" customFormat="1" ht="15.6">
      <c r="A91" s="112" t="s">
        <v>257</v>
      </c>
      <c r="B91" s="192" t="s">
        <v>258</v>
      </c>
      <c r="C91" s="103"/>
      <c r="D91" s="103"/>
      <c r="E91" s="164"/>
      <c r="F91" s="99"/>
    </row>
    <row r="92" spans="1:6" s="108" customFormat="1" ht="18" customHeight="1">
      <c r="A92" s="112" t="s">
        <v>259</v>
      </c>
      <c r="B92" s="171" t="s">
        <v>357</v>
      </c>
      <c r="C92" s="103" t="s">
        <v>9</v>
      </c>
      <c r="D92" s="103">
        <v>6</v>
      </c>
      <c r="E92" s="164"/>
      <c r="F92" s="99">
        <f>D92*E92</f>
        <v>0</v>
      </c>
    </row>
    <row r="93" spans="1:6" s="108" customFormat="1" ht="30" customHeight="1">
      <c r="A93" s="112" t="s">
        <v>260</v>
      </c>
      <c r="B93" s="196" t="s">
        <v>358</v>
      </c>
      <c r="C93" s="103" t="s">
        <v>340</v>
      </c>
      <c r="D93" s="103">
        <v>1</v>
      </c>
      <c r="E93" s="164"/>
      <c r="F93" s="99">
        <f>D93*E93</f>
        <v>0</v>
      </c>
    </row>
    <row r="94" spans="1:6" s="108" customFormat="1" ht="21" customHeight="1">
      <c r="A94" s="112" t="s">
        <v>260</v>
      </c>
      <c r="B94" s="196" t="s">
        <v>359</v>
      </c>
      <c r="C94" s="103" t="s">
        <v>340</v>
      </c>
      <c r="D94" s="103">
        <v>2</v>
      </c>
      <c r="E94" s="164"/>
      <c r="F94" s="99">
        <f>D94*E94</f>
        <v>0</v>
      </c>
    </row>
    <row r="95" spans="1:6" s="108" customFormat="1" ht="17.399999999999999" customHeight="1">
      <c r="A95" s="105"/>
      <c r="B95" s="106" t="s">
        <v>261</v>
      </c>
      <c r="C95" s="107"/>
      <c r="D95" s="179"/>
      <c r="E95" s="180"/>
      <c r="F95" s="101">
        <f>SUM(F91:F94)</f>
        <v>0</v>
      </c>
    </row>
    <row r="96" spans="1:6" s="202" customFormat="1" ht="10.8" customHeight="1">
      <c r="A96" s="197"/>
      <c r="B96" s="198"/>
      <c r="C96" s="199"/>
      <c r="D96" s="200"/>
      <c r="E96" s="201"/>
      <c r="F96" s="104"/>
    </row>
    <row r="97" spans="1:6" s="108" customFormat="1" ht="15.6">
      <c r="A97" s="165" t="s">
        <v>69</v>
      </c>
      <c r="B97" s="166" t="s">
        <v>62</v>
      </c>
      <c r="C97" s="167"/>
      <c r="D97" s="168"/>
      <c r="E97" s="169"/>
      <c r="F97" s="168"/>
    </row>
    <row r="98" spans="1:6" s="108" customFormat="1" ht="15.6">
      <c r="A98" s="112" t="s">
        <v>94</v>
      </c>
      <c r="B98" s="192" t="s">
        <v>360</v>
      </c>
      <c r="C98" s="103"/>
      <c r="D98" s="103"/>
      <c r="E98" s="164"/>
      <c r="F98" s="99"/>
    </row>
    <row r="99" spans="1:6" s="108" customFormat="1" ht="18" customHeight="1">
      <c r="A99" s="112" t="s">
        <v>99</v>
      </c>
      <c r="B99" s="171" t="s">
        <v>361</v>
      </c>
      <c r="C99" s="103" t="s">
        <v>4</v>
      </c>
      <c r="D99" s="103">
        <v>35</v>
      </c>
      <c r="E99" s="164"/>
      <c r="F99" s="99">
        <f>D99*E99</f>
        <v>0</v>
      </c>
    </row>
    <row r="100" spans="1:6" s="108" customFormat="1" ht="18" customHeight="1">
      <c r="A100" s="112" t="s">
        <v>262</v>
      </c>
      <c r="B100" s="171" t="s">
        <v>362</v>
      </c>
      <c r="C100" s="103" t="s">
        <v>4</v>
      </c>
      <c r="D100" s="103">
        <v>45</v>
      </c>
      <c r="E100" s="164"/>
      <c r="F100" s="99">
        <f>D100*E100</f>
        <v>0</v>
      </c>
    </row>
    <row r="101" spans="1:6" s="108" customFormat="1" ht="16.8" customHeight="1">
      <c r="A101" s="105"/>
      <c r="B101" s="106" t="s">
        <v>64</v>
      </c>
      <c r="C101" s="107"/>
      <c r="D101" s="179"/>
      <c r="E101" s="180"/>
      <c r="F101" s="101">
        <f>SUM(F98:F100)</f>
        <v>0</v>
      </c>
    </row>
    <row r="102" spans="1:6" s="108" customFormat="1" ht="15">
      <c r="A102" s="105"/>
      <c r="B102" s="162"/>
      <c r="C102" s="103"/>
      <c r="D102" s="99"/>
      <c r="E102" s="164"/>
      <c r="F102" s="99"/>
    </row>
    <row r="103" spans="1:6" s="108" customFormat="1" ht="15.6">
      <c r="A103" s="165" t="s">
        <v>70</v>
      </c>
      <c r="B103" s="166" t="s">
        <v>11</v>
      </c>
      <c r="C103" s="167"/>
      <c r="D103" s="168"/>
      <c r="E103" s="169"/>
      <c r="F103" s="168"/>
    </row>
    <row r="104" spans="1:6" s="108" customFormat="1" ht="17.25" customHeight="1">
      <c r="A104" s="112" t="s">
        <v>93</v>
      </c>
      <c r="B104" s="192" t="s">
        <v>59</v>
      </c>
      <c r="C104" s="103"/>
      <c r="D104" s="103"/>
      <c r="E104" s="164"/>
      <c r="F104" s="99"/>
    </row>
    <row r="105" spans="1:6" s="108" customFormat="1" ht="15">
      <c r="A105" s="112" t="s">
        <v>100</v>
      </c>
      <c r="B105" s="171" t="s">
        <v>363</v>
      </c>
      <c r="C105" s="103" t="s">
        <v>4</v>
      </c>
      <c r="D105" s="103">
        <f>6*2*2.8+1.5*2*2.8</f>
        <v>41.999999999999993</v>
      </c>
      <c r="E105" s="164"/>
      <c r="F105" s="99">
        <f>D105*E105</f>
        <v>0</v>
      </c>
    </row>
    <row r="106" spans="1:6" s="108" customFormat="1" ht="15">
      <c r="A106" s="112" t="s">
        <v>101</v>
      </c>
      <c r="B106" s="171" t="s">
        <v>266</v>
      </c>
      <c r="C106" s="103" t="s">
        <v>4</v>
      </c>
      <c r="D106" s="103">
        <f>2*7*1</f>
        <v>14</v>
      </c>
      <c r="E106" s="164"/>
      <c r="F106" s="99">
        <f>D106*E106</f>
        <v>0</v>
      </c>
    </row>
    <row r="107" spans="1:6" s="108" customFormat="1" ht="15.6">
      <c r="A107" s="112" t="s">
        <v>102</v>
      </c>
      <c r="B107" s="192" t="s">
        <v>60</v>
      </c>
      <c r="C107" s="103"/>
      <c r="D107" s="103"/>
      <c r="E107" s="164"/>
      <c r="F107" s="99"/>
    </row>
    <row r="108" spans="1:6" s="108" customFormat="1" ht="15">
      <c r="A108" s="112" t="s">
        <v>103</v>
      </c>
      <c r="B108" s="171" t="s">
        <v>364</v>
      </c>
      <c r="C108" s="103" t="s">
        <v>4</v>
      </c>
      <c r="D108" s="103">
        <f>2*6*1.8+7*1.5*1.8</f>
        <v>40.5</v>
      </c>
      <c r="E108" s="164"/>
      <c r="F108" s="99">
        <f>D108*E108</f>
        <v>0</v>
      </c>
    </row>
    <row r="109" spans="1:6" s="108" customFormat="1" ht="15.6">
      <c r="A109" s="193" t="s">
        <v>104</v>
      </c>
      <c r="B109" s="192" t="s">
        <v>365</v>
      </c>
      <c r="C109" s="103"/>
      <c r="D109" s="103"/>
      <c r="E109" s="164"/>
      <c r="F109" s="99"/>
    </row>
    <row r="110" spans="1:6" s="108" customFormat="1" ht="15">
      <c r="A110" s="193" t="s">
        <v>105</v>
      </c>
      <c r="B110" s="171" t="s">
        <v>263</v>
      </c>
      <c r="C110" s="103" t="s">
        <v>4</v>
      </c>
      <c r="D110" s="103">
        <f>6*1.8*0.6*2</f>
        <v>12.96</v>
      </c>
      <c r="E110" s="164"/>
      <c r="F110" s="99">
        <f>D110*E110</f>
        <v>0</v>
      </c>
    </row>
    <row r="111" spans="1:6" s="108" customFormat="1" ht="16.8" customHeight="1">
      <c r="A111" s="105"/>
      <c r="B111" s="106" t="s">
        <v>57</v>
      </c>
      <c r="C111" s="107"/>
      <c r="D111" s="179"/>
      <c r="E111" s="180"/>
      <c r="F111" s="101">
        <f>SUM(F105:F110)</f>
        <v>0</v>
      </c>
    </row>
    <row r="112" spans="1:6" s="108" customFormat="1" ht="15">
      <c r="A112" s="203"/>
      <c r="B112" s="204"/>
      <c r="C112" s="204"/>
      <c r="D112" s="204"/>
      <c r="E112" s="205"/>
      <c r="F112" s="204"/>
    </row>
    <row r="113" spans="1:6" s="108" customFormat="1" ht="20.25" customHeight="1">
      <c r="A113" s="271" t="s">
        <v>376</v>
      </c>
      <c r="B113" s="272"/>
      <c r="C113" s="273"/>
      <c r="D113" s="206"/>
      <c r="E113" s="207"/>
      <c r="F113" s="208">
        <f>F111+F95+F87+F101+F14+F80+F75+F61+F57+F16+F65</f>
        <v>0</v>
      </c>
    </row>
    <row r="114" spans="1:6" ht="18.600000000000001" thickBot="1">
      <c r="E114" s="210"/>
      <c r="F114" s="211"/>
    </row>
    <row r="115" spans="1:6" s="217" customFormat="1" ht="18" thickBot="1">
      <c r="A115" s="212"/>
      <c r="B115" s="213" t="s">
        <v>267</v>
      </c>
      <c r="C115" s="214"/>
      <c r="D115" s="248">
        <v>0.1007</v>
      </c>
      <c r="E115" s="215"/>
      <c r="F115" s="216">
        <f>F113*D115</f>
        <v>0</v>
      </c>
    </row>
    <row r="116" spans="1:6" s="108" customFormat="1" ht="18" thickBot="1">
      <c r="A116" s="218"/>
      <c r="B116" s="218"/>
      <c r="D116" s="219"/>
      <c r="E116" s="220"/>
      <c r="F116" s="221"/>
    </row>
    <row r="117" spans="1:6" s="217" customFormat="1" ht="18" thickBot="1">
      <c r="A117" s="212"/>
      <c r="B117" s="213" t="s">
        <v>268</v>
      </c>
      <c r="C117" s="214"/>
      <c r="D117" s="222"/>
      <c r="E117" s="215"/>
      <c r="F117" s="223">
        <f>(F113+F115)</f>
        <v>0</v>
      </c>
    </row>
    <row r="118" spans="1:6" s="108" customFormat="1" ht="15">
      <c r="A118" s="218"/>
      <c r="B118" s="218"/>
      <c r="D118" s="219"/>
      <c r="E118" s="219"/>
      <c r="F118" s="219"/>
    </row>
  </sheetData>
  <sheetProtection selectLockedCells="1"/>
  <mergeCells count="2">
    <mergeCell ref="A7:F7"/>
    <mergeCell ref="A113:C113"/>
  </mergeCells>
  <pageMargins left="0.7" right="0.7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9A79-EE50-47FF-8234-F4656DC74744}">
  <dimension ref="A1:B13"/>
  <sheetViews>
    <sheetView view="pageBreakPreview" zoomScale="90" zoomScaleNormal="100" zoomScaleSheetLayoutView="90" workbookViewId="0">
      <selection activeCell="B6" sqref="B6"/>
    </sheetView>
  </sheetViews>
  <sheetFormatPr baseColWidth="10" defaultRowHeight="14.4"/>
  <cols>
    <col min="1" max="1" width="68.6640625" style="8" customWidth="1"/>
    <col min="2" max="2" width="21.44140625" customWidth="1"/>
  </cols>
  <sheetData>
    <row r="1" spans="1:2" ht="90" customHeight="1">
      <c r="A1" s="278"/>
      <c r="B1" s="278"/>
    </row>
    <row r="2" spans="1:2" ht="15" thickBot="1"/>
    <row r="3" spans="1:2" s="3" customFormat="1" ht="22.2" customHeight="1">
      <c r="A3" s="274" t="s">
        <v>208</v>
      </c>
      <c r="B3" s="275"/>
    </row>
    <row r="4" spans="1:2" s="3" customFormat="1" ht="12.75" customHeight="1">
      <c r="A4" s="10"/>
      <c r="B4" s="11"/>
    </row>
    <row r="5" spans="1:2" s="3" customFormat="1" ht="15">
      <c r="A5" s="12"/>
      <c r="B5" s="13"/>
    </row>
    <row r="6" spans="1:2" s="3" customFormat="1" ht="24" customHeight="1">
      <c r="A6" s="14" t="s">
        <v>367</v>
      </c>
      <c r="B6" s="15">
        <f>Maternelle!F57</f>
        <v>0</v>
      </c>
    </row>
    <row r="7" spans="1:2" s="3" customFormat="1" ht="18.600000000000001" customHeight="1">
      <c r="A7" s="17"/>
      <c r="B7" s="16"/>
    </row>
    <row r="8" spans="1:2" s="3" customFormat="1" ht="27.6" customHeight="1">
      <c r="A8" s="14" t="s">
        <v>209</v>
      </c>
      <c r="B8" s="15">
        <f>cantine!E133</f>
        <v>0</v>
      </c>
    </row>
    <row r="9" spans="1:2" s="3" customFormat="1" ht="18.600000000000001" customHeight="1">
      <c r="A9" s="17"/>
      <c r="B9" s="16"/>
    </row>
    <row r="10" spans="1:2" s="3" customFormat="1" ht="27.6" customHeight="1">
      <c r="A10" s="14" t="s">
        <v>264</v>
      </c>
      <c r="B10" s="15">
        <f>'Réha latrine 6 cabines'!F117</f>
        <v>0</v>
      </c>
    </row>
    <row r="11" spans="1:2" s="3" customFormat="1" ht="20.399999999999999" customHeight="1">
      <c r="A11" s="276"/>
      <c r="B11" s="277"/>
    </row>
    <row r="12" spans="1:2" s="3" customFormat="1" ht="25.2" customHeight="1" thickBot="1">
      <c r="A12" s="18" t="s">
        <v>210</v>
      </c>
      <c r="B12" s="19">
        <f>B6+B10+B8</f>
        <v>0</v>
      </c>
    </row>
    <row r="13" spans="1:2" s="3" customFormat="1" ht="15.6">
      <c r="A13" s="9"/>
      <c r="B13" s="6"/>
    </row>
  </sheetData>
  <sheetProtection selectLockedCells="1"/>
  <mergeCells count="3">
    <mergeCell ref="A3:B3"/>
    <mergeCell ref="A11:B11"/>
    <mergeCell ref="A1:B1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cantine</vt:lpstr>
      <vt:lpstr>Maternelle</vt:lpstr>
      <vt:lpstr>Réha latrine 6 cabines</vt:lpstr>
      <vt:lpstr>Recap</vt:lpstr>
      <vt:lpstr>cantine!Zone_d_impression</vt:lpstr>
      <vt:lpstr>Maternelle!Zone_d_impression</vt:lpstr>
      <vt:lpstr>Recap!Zone_d_impression</vt:lpstr>
      <vt:lpstr>'Réha latrine 6 cabines'!Zone_d_impression</vt:lpstr>
    </vt:vector>
  </TitlesOfParts>
  <Company>PRIVEE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SIEHI  RGER</dc:creator>
  <cp:lastModifiedBy>Koffi Simplice Loukou</cp:lastModifiedBy>
  <cp:lastPrinted>2022-07-11T10:29:12Z</cp:lastPrinted>
  <dcterms:created xsi:type="dcterms:W3CDTF">2007-12-03T22:12:12Z</dcterms:created>
  <dcterms:modified xsi:type="dcterms:W3CDTF">2022-09-15T08:08:33Z</dcterms:modified>
</cp:coreProperties>
</file>