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CI\DAO\DOC DAO CONJOINT 2022\DOCS DAO CONJOINT 2022 v esso\DQE\"/>
    </mc:Choice>
  </mc:AlternateContent>
  <xr:revisionPtr revIDLastSave="0" documentId="13_ncr:1_{00A3A5D7-1F34-4126-8758-F388112A8D3D}" xr6:coauthVersionLast="47" xr6:coauthVersionMax="47" xr10:uidLastSave="{00000000-0000-0000-0000-000000000000}"/>
  <bookViews>
    <workbookView xWindow="-108" yWindow="-108" windowWidth="23256" windowHeight="12576" tabRatio="685" xr2:uid="{00000000-000D-0000-FFFF-FFFF00000000}"/>
  </bookViews>
  <sheets>
    <sheet name="3 cls + bureau " sheetId="35" r:id="rId1"/>
    <sheet name="cantine" sheetId="36" r:id="rId2"/>
    <sheet name="latrine 3 cabines" sheetId="37" r:id="rId3"/>
    <sheet name="Recap" sheetId="38" r:id="rId4"/>
  </sheets>
  <definedNames>
    <definedName name="_xlnm.Print_Area" localSheetId="0">'3 cls + bureau '!$A$1:$F$115</definedName>
    <definedName name="_xlnm.Print_Area" localSheetId="1">cantine!$A$1:$F$133</definedName>
    <definedName name="_xlnm.Print_Area" localSheetId="2">'latrine 3 cabines'!$A$1:$F$109</definedName>
    <definedName name="_xlnm.Print_Area" localSheetId="3">Recap!$A$1:$B$13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35" l="1"/>
  <c r="F79" i="35"/>
  <c r="F108" i="35"/>
  <c r="F75" i="36"/>
  <c r="F73" i="36"/>
  <c r="F103" i="37"/>
  <c r="B10" i="38"/>
  <c r="F100" i="37" l="1"/>
  <c r="D98" i="37"/>
  <c r="F98" i="37" s="1"/>
  <c r="F101" i="37" s="1"/>
  <c r="F96" i="37"/>
  <c r="F95" i="37"/>
  <c r="D90" i="37"/>
  <c r="F90" i="37" s="1"/>
  <c r="F89" i="37"/>
  <c r="F84" i="37"/>
  <c r="F83" i="37"/>
  <c r="F82" i="37"/>
  <c r="F85" i="37" s="1"/>
  <c r="F77" i="37"/>
  <c r="F76" i="37"/>
  <c r="F70" i="37"/>
  <c r="F71" i="37" s="1"/>
  <c r="D70" i="37"/>
  <c r="F65" i="37"/>
  <c r="D63" i="37"/>
  <c r="F63" i="37" s="1"/>
  <c r="F66" i="37" s="1"/>
  <c r="F61" i="37"/>
  <c r="F55" i="37"/>
  <c r="F56" i="37" s="1"/>
  <c r="F49" i="37"/>
  <c r="F47" i="37"/>
  <c r="F44" i="37"/>
  <c r="D44" i="37"/>
  <c r="D43" i="37"/>
  <c r="F43" i="37" s="1"/>
  <c r="D39" i="37"/>
  <c r="D41" i="37" s="1"/>
  <c r="F41" i="37" s="1"/>
  <c r="D37" i="37"/>
  <c r="F37" i="37" s="1"/>
  <c r="D35" i="37"/>
  <c r="D36" i="37" s="1"/>
  <c r="F36" i="37" s="1"/>
  <c r="F33" i="37"/>
  <c r="D31" i="37"/>
  <c r="F31" i="37" s="1"/>
  <c r="D29" i="37"/>
  <c r="D30" i="37" s="1"/>
  <c r="F30" i="37" s="1"/>
  <c r="D26" i="37"/>
  <c r="D27" i="37" s="1"/>
  <c r="F27" i="37" s="1"/>
  <c r="F24" i="37"/>
  <c r="D24" i="37"/>
  <c r="D21" i="37"/>
  <c r="D23" i="37" s="1"/>
  <c r="F23" i="37" s="1"/>
  <c r="F19" i="37"/>
  <c r="D19" i="37"/>
  <c r="F10" i="37"/>
  <c r="D9" i="37"/>
  <c r="F9" i="37" s="1"/>
  <c r="F11" i="37" s="1"/>
  <c r="F13" i="37" s="1"/>
  <c r="D126" i="36"/>
  <c r="F126" i="36" s="1"/>
  <c r="D123" i="36"/>
  <c r="F123" i="36" s="1"/>
  <c r="D121" i="36"/>
  <c r="F121" i="36" s="1"/>
  <c r="D120" i="36"/>
  <c r="F120" i="36" s="1"/>
  <c r="F115" i="36"/>
  <c r="F114" i="36"/>
  <c r="F116" i="36" s="1"/>
  <c r="F110" i="36"/>
  <c r="F109" i="36"/>
  <c r="F107" i="36"/>
  <c r="F106" i="36"/>
  <c r="D99" i="36"/>
  <c r="F99" i="36" s="1"/>
  <c r="D98" i="36"/>
  <c r="D124" i="36" s="1"/>
  <c r="F124" i="36" s="1"/>
  <c r="F94" i="36"/>
  <c r="F95" i="36" s="1"/>
  <c r="F89" i="36"/>
  <c r="D89" i="36"/>
  <c r="F87" i="36"/>
  <c r="D85" i="36"/>
  <c r="F85" i="36" s="1"/>
  <c r="F90" i="36" s="1"/>
  <c r="F79" i="36"/>
  <c r="F80" i="36" s="1"/>
  <c r="D79" i="36"/>
  <c r="F62" i="36"/>
  <c r="F60" i="36"/>
  <c r="F58" i="36"/>
  <c r="F55" i="36"/>
  <c r="F54" i="36"/>
  <c r="D49" i="36"/>
  <c r="F49" i="36" s="1"/>
  <c r="D48" i="36"/>
  <c r="F48" i="36" s="1"/>
  <c r="D44" i="36"/>
  <c r="D46" i="36" s="1"/>
  <c r="F46" i="36" s="1"/>
  <c r="F42" i="36"/>
  <c r="D40" i="36"/>
  <c r="D41" i="36" s="1"/>
  <c r="F41" i="36" s="1"/>
  <c r="D38" i="36"/>
  <c r="D53" i="36" s="1"/>
  <c r="F53" i="36" s="1"/>
  <c r="F35" i="36"/>
  <c r="D35" i="36"/>
  <c r="F33" i="36"/>
  <c r="D33" i="36"/>
  <c r="D31" i="36"/>
  <c r="F31" i="36" s="1"/>
  <c r="F30" i="36"/>
  <c r="D30" i="36"/>
  <c r="D32" i="36" s="1"/>
  <c r="F32" i="36" s="1"/>
  <c r="D26" i="36"/>
  <c r="D28" i="36" s="1"/>
  <c r="F28" i="36" s="1"/>
  <c r="D23" i="36"/>
  <c r="D24" i="36" s="1"/>
  <c r="F24" i="36" s="1"/>
  <c r="F17" i="36"/>
  <c r="D17" i="36"/>
  <c r="D16" i="36"/>
  <c r="F16" i="36" s="1"/>
  <c r="F15" i="36"/>
  <c r="F18" i="36" s="1"/>
  <c r="D15" i="36"/>
  <c r="F10" i="36"/>
  <c r="F9" i="36"/>
  <c r="F8" i="36"/>
  <c r="F11" i="36" s="1"/>
  <c r="D107" i="35"/>
  <c r="F107" i="35" s="1"/>
  <c r="F106" i="35"/>
  <c r="D106" i="35"/>
  <c r="D104" i="35"/>
  <c r="F104" i="35" s="1"/>
  <c r="D102" i="35"/>
  <c r="F102" i="35" s="1"/>
  <c r="D100" i="35"/>
  <c r="F100" i="35" s="1"/>
  <c r="D99" i="35"/>
  <c r="F99" i="35" s="1"/>
  <c r="F93" i="35"/>
  <c r="F91" i="35"/>
  <c r="F90" i="35"/>
  <c r="F94" i="35" s="1"/>
  <c r="F84" i="35"/>
  <c r="F85" i="35" s="1"/>
  <c r="F78" i="35"/>
  <c r="D78" i="35"/>
  <c r="F76" i="35"/>
  <c r="F74" i="35"/>
  <c r="D74" i="35"/>
  <c r="F68" i="35"/>
  <c r="D67" i="35"/>
  <c r="F67" i="35" s="1"/>
  <c r="F60" i="35"/>
  <c r="F59" i="35"/>
  <c r="D56" i="35"/>
  <c r="D57" i="35" s="1"/>
  <c r="F57" i="35" s="1"/>
  <c r="D55" i="35"/>
  <c r="F55" i="35" s="1"/>
  <c r="D54" i="35"/>
  <c r="F54" i="35" s="1"/>
  <c r="D53" i="35"/>
  <c r="F53" i="35" s="1"/>
  <c r="D52" i="35"/>
  <c r="F52" i="35" s="1"/>
  <c r="F50" i="35"/>
  <c r="F49" i="35"/>
  <c r="F48" i="35"/>
  <c r="F46" i="35"/>
  <c r="D46" i="35"/>
  <c r="D43" i="35"/>
  <c r="D44" i="35" s="1"/>
  <c r="F44" i="35" s="1"/>
  <c r="F41" i="35"/>
  <c r="D41" i="35"/>
  <c r="D39" i="35"/>
  <c r="F39" i="35" s="1"/>
  <c r="D38" i="35"/>
  <c r="F38" i="35" s="1"/>
  <c r="F36" i="35"/>
  <c r="D36" i="35"/>
  <c r="D35" i="35"/>
  <c r="F35" i="35" s="1"/>
  <c r="D34" i="35"/>
  <c r="F34" i="35" s="1"/>
  <c r="D32" i="35"/>
  <c r="F32" i="35" s="1"/>
  <c r="F31" i="35"/>
  <c r="D31" i="35"/>
  <c r="D30" i="35"/>
  <c r="F30" i="35" s="1"/>
  <c r="D29" i="35"/>
  <c r="D40" i="35" s="1"/>
  <c r="F40" i="35" s="1"/>
  <c r="D28" i="35"/>
  <c r="F28" i="35" s="1"/>
  <c r="F27" i="35"/>
  <c r="D27" i="35"/>
  <c r="D26" i="35"/>
  <c r="F26" i="35" s="1"/>
  <c r="F22" i="35"/>
  <c r="D22" i="35"/>
  <c r="D21" i="35"/>
  <c r="F21" i="35" s="1"/>
  <c r="F20" i="35"/>
  <c r="F23" i="35" s="1"/>
  <c r="D20" i="35"/>
  <c r="F13" i="35"/>
  <c r="F12" i="35"/>
  <c r="F11" i="35"/>
  <c r="F14" i="35" s="1"/>
  <c r="F127" i="36" l="1"/>
  <c r="F91" i="37"/>
  <c r="F44" i="36"/>
  <c r="F98" i="36"/>
  <c r="F101" i="36" s="1"/>
  <c r="F43" i="35"/>
  <c r="F26" i="36"/>
  <c r="F38" i="36"/>
  <c r="D45" i="36"/>
  <c r="F45" i="36" s="1"/>
  <c r="D50" i="36"/>
  <c r="F50" i="36" s="1"/>
  <c r="F21" i="37"/>
  <c r="F50" i="37" s="1"/>
  <c r="F52" i="37" s="1"/>
  <c r="F26" i="37"/>
  <c r="F56" i="35"/>
  <c r="D27" i="36"/>
  <c r="F27" i="36" s="1"/>
  <c r="D22" i="37"/>
  <c r="F22" i="37" s="1"/>
  <c r="F39" i="37"/>
  <c r="F29" i="35"/>
  <c r="F61" i="35" s="1"/>
  <c r="F62" i="35" s="1"/>
  <c r="F110" i="35" s="1"/>
  <c r="F40" i="36"/>
  <c r="D40" i="37"/>
  <c r="F40" i="37" s="1"/>
  <c r="F35" i="37"/>
  <c r="F23" i="36"/>
  <c r="F29" i="37"/>
  <c r="F112" i="35" l="1"/>
  <c r="F114" i="35" s="1"/>
  <c r="B6" i="38" s="1"/>
  <c r="F105" i="37"/>
  <c r="F109" i="37" s="1"/>
  <c r="F129" i="36"/>
  <c r="F131" i="36" l="1"/>
  <c r="E133" i="36"/>
  <c r="B8" i="38" s="1"/>
  <c r="B12" i="38" s="1"/>
</calcChain>
</file>

<file path=xl/sharedStrings.xml><?xml version="1.0" encoding="utf-8"?>
<sst xmlns="http://schemas.openxmlformats.org/spreadsheetml/2006/main" count="673" uniqueCount="399">
  <si>
    <t>Unité</t>
  </si>
  <si>
    <t>Montant du marché</t>
  </si>
  <si>
    <t>Quantité du marché</t>
  </si>
  <si>
    <t>Prix unitaire du marché</t>
  </si>
  <si>
    <t>m²</t>
  </si>
  <si>
    <t>1.2</t>
  </si>
  <si>
    <t>2.3</t>
  </si>
  <si>
    <t>ml</t>
  </si>
  <si>
    <t xml:space="preserve">Désignation des Travaux </t>
  </si>
  <si>
    <t>u</t>
  </si>
  <si>
    <t>m3</t>
  </si>
  <si>
    <t>PEINTURE</t>
  </si>
  <si>
    <t>N° d'ordre</t>
  </si>
  <si>
    <t>LOT 1</t>
  </si>
  <si>
    <t>LOT 2</t>
  </si>
  <si>
    <t>GROS-ŒUVRE</t>
  </si>
  <si>
    <t>2.2.</t>
  </si>
  <si>
    <t>2.2.1</t>
  </si>
  <si>
    <t>LOT 3</t>
  </si>
  <si>
    <t>FONDATION</t>
  </si>
  <si>
    <t xml:space="preserve">         * Béton</t>
  </si>
  <si>
    <t xml:space="preserve">         * Coffrage 12 m2/m3</t>
  </si>
  <si>
    <t xml:space="preserve">         * Aciers Tors HA 80 kg/m3</t>
  </si>
  <si>
    <t>kg</t>
  </si>
  <si>
    <t>2.2.2</t>
  </si>
  <si>
    <t>ELEVATION</t>
  </si>
  <si>
    <t>2.2.2.1</t>
  </si>
  <si>
    <t>2.2.2.5</t>
  </si>
  <si>
    <t>2.2.2.7</t>
  </si>
  <si>
    <t>2.2.2.8</t>
  </si>
  <si>
    <t>2.3.1</t>
  </si>
  <si>
    <t>2.3.2</t>
  </si>
  <si>
    <t>2.3.2.5</t>
  </si>
  <si>
    <t xml:space="preserve"> ENDUITS</t>
  </si>
  <si>
    <t>OUVRAGES DIVERS</t>
  </si>
  <si>
    <t>Marches d'escalier</t>
  </si>
  <si>
    <t xml:space="preserve">Rampe </t>
  </si>
  <si>
    <t>Sous-total Maçonnerie béton armé</t>
  </si>
  <si>
    <t>TOTAL GROS-ŒUVRES</t>
  </si>
  <si>
    <t>CHARPENTE</t>
  </si>
  <si>
    <t>TOTAL CHARPENTE</t>
  </si>
  <si>
    <t>LOT 4</t>
  </si>
  <si>
    <t>COUVERTURE</t>
  </si>
  <si>
    <t>GENERALITES</t>
  </si>
  <si>
    <t xml:space="preserve">Couverture </t>
  </si>
  <si>
    <t>Bardage</t>
  </si>
  <si>
    <t>TOTAL COUVERTURE</t>
  </si>
  <si>
    <t>LOT 5</t>
  </si>
  <si>
    <t>ETANCHEITE</t>
  </si>
  <si>
    <t>5.1</t>
  </si>
  <si>
    <t>5.1.1</t>
  </si>
  <si>
    <t>Etanchéité des couvertures tôle</t>
  </si>
  <si>
    <t>TOTAL ETANCHEITE</t>
  </si>
  <si>
    <t>LOT 6</t>
  </si>
  <si>
    <t>LOT 8</t>
  </si>
  <si>
    <t>SERRURERIE</t>
  </si>
  <si>
    <t>TOTAL SERRURERIE</t>
  </si>
  <si>
    <t>Peinture glycero sur ouvrages metalliques</t>
  </si>
  <si>
    <t>TOTAL PEINTURE</t>
  </si>
  <si>
    <t xml:space="preserve"> - Vinyl sur murs extérieurs  et claustras 2 couches</t>
  </si>
  <si>
    <t xml:space="preserve"> - Vinyl sur murs intérieurs  et claustras 2 couches</t>
  </si>
  <si>
    <t xml:space="preserve">         * Aciers Tors HA 70 kg/m3</t>
  </si>
  <si>
    <t xml:space="preserve"> Peinture extérieure</t>
  </si>
  <si>
    <t xml:space="preserve"> Peinture intérieure</t>
  </si>
  <si>
    <t>Rampe d'accès</t>
  </si>
  <si>
    <t>REVETMENT DUR</t>
  </si>
  <si>
    <t>sol et faîence</t>
  </si>
  <si>
    <t xml:space="preserve">TOTAL REVETEMENT </t>
  </si>
  <si>
    <t>1.1</t>
  </si>
  <si>
    <t>1.3</t>
  </si>
  <si>
    <t>DESIGNATION</t>
  </si>
  <si>
    <t>CHARPENTE BOIS</t>
  </si>
  <si>
    <t>LOT 7</t>
  </si>
  <si>
    <t>LOT 9</t>
  </si>
  <si>
    <t>LOT 10</t>
  </si>
  <si>
    <t>U</t>
  </si>
  <si>
    <t>QTE</t>
  </si>
  <si>
    <t>PRIX UNITAIRE</t>
  </si>
  <si>
    <t>P. TOTAL</t>
  </si>
  <si>
    <t>2.1</t>
  </si>
  <si>
    <t xml:space="preserve"> TERRASSEMENTS PARTICULIERS</t>
  </si>
  <si>
    <t>2.1.1.</t>
  </si>
  <si>
    <t>2.1.2.</t>
  </si>
  <si>
    <t xml:space="preserve"> - Remblai des fouilles</t>
  </si>
  <si>
    <t>2.1.3.</t>
  </si>
  <si>
    <t xml:space="preserve"> - Remblai  sous dallage </t>
  </si>
  <si>
    <t>2.2.1.1</t>
  </si>
  <si>
    <t xml:space="preserve"> - Béton de propreté EP = 0,05 dosé à 150 kg/m3</t>
  </si>
  <si>
    <t>2.2.1.2</t>
  </si>
  <si>
    <t>2.2.1.3</t>
  </si>
  <si>
    <t xml:space="preserve"> - Amorce des poteaux en BA dosé à 300 kg/m3</t>
  </si>
  <si>
    <t>2.2.1.4</t>
  </si>
  <si>
    <t xml:space="preserve"> - Chaînage bas en B.A dosé à 300 kg/m3</t>
  </si>
  <si>
    <t>2.2.1.5</t>
  </si>
  <si>
    <t>2.2.1.6</t>
  </si>
  <si>
    <t xml:space="preserve">         * Film polyane sous dallage</t>
  </si>
  <si>
    <t>2.2.1.7</t>
  </si>
  <si>
    <t xml:space="preserve"> - Drain en briques </t>
  </si>
  <si>
    <t xml:space="preserve">         * Bordure en agglo 10 ordinaire en mortier de ciment y compris fouilles, pose sur béton de propreté, enduit et peinture en façade avant et arrière</t>
  </si>
  <si>
    <t xml:space="preserve">         * Gravier roulé séléctionné ép=20 cm</t>
  </si>
  <si>
    <t xml:space="preserve">         * Sable ép=10 cm</t>
  </si>
  <si>
    <t xml:space="preserve"> - Raidisseur et poteaux en béton armé dosé à 350 kg/m3</t>
  </si>
  <si>
    <t xml:space="preserve"> - Chaînage haut et linteaux dosés à 350 kg/m3</t>
  </si>
  <si>
    <t xml:space="preserve">         * Coffrage 2 m2/m3</t>
  </si>
  <si>
    <t>2.2.2.6</t>
  </si>
  <si>
    <t xml:space="preserve"> - Couronnement des murs et pignons </t>
  </si>
  <si>
    <t xml:space="preserve">CLAUSTRAS </t>
  </si>
  <si>
    <r>
      <t>m</t>
    </r>
    <r>
      <rPr>
        <vertAlign val="superscript"/>
        <sz val="12"/>
        <rFont val="Calibri"/>
        <family val="2"/>
      </rPr>
      <t>2</t>
    </r>
  </si>
  <si>
    <t xml:space="preserve"> - Fouilles en rigole </t>
  </si>
  <si>
    <t xml:space="preserve"> - Agglos pleins de 15 d'épaisseur</t>
  </si>
  <si>
    <t xml:space="preserve"> - Remblai  sous dalle de la rampe</t>
  </si>
  <si>
    <t>2.3.3</t>
  </si>
  <si>
    <t>2.3.3.1</t>
  </si>
  <si>
    <t>2.3.3.2</t>
  </si>
  <si>
    <t>2.3.3.3</t>
  </si>
  <si>
    <t>2.3.4</t>
  </si>
  <si>
    <t>2.3.4.2</t>
  </si>
  <si>
    <t>Tableau en ciment</t>
  </si>
  <si>
    <t>SOUS/TOTAL  maçonnerie et béton armé</t>
  </si>
  <si>
    <t>3.1</t>
  </si>
  <si>
    <t>CHARPENTE BOIS  ASSEMBLE ET TRAITE</t>
  </si>
  <si>
    <t>3.1.1</t>
  </si>
  <si>
    <t>3.1.2</t>
  </si>
  <si>
    <t>Charpente en bois assamblée et traitée</t>
  </si>
  <si>
    <t>3.1.3</t>
  </si>
  <si>
    <t>Ferrure métallique de fixation des fermes</t>
  </si>
  <si>
    <t>4.1</t>
  </si>
  <si>
    <t>4.1.1</t>
  </si>
  <si>
    <t>4.1.2</t>
  </si>
  <si>
    <t>Faitiere crantée.</t>
  </si>
  <si>
    <t>4.1.2.1</t>
  </si>
  <si>
    <t>4.1.3</t>
  </si>
  <si>
    <t>4.1.3.1</t>
  </si>
  <si>
    <t>Bardage en tôle</t>
  </si>
  <si>
    <t xml:space="preserve">ens </t>
  </si>
  <si>
    <t>7.1</t>
  </si>
  <si>
    <t>7.2</t>
  </si>
  <si>
    <t xml:space="preserve">Portes metalliques tolées sur 1 faces </t>
  </si>
  <si>
    <t>Portes metalliques tolées sur 1 faces pour placards</t>
  </si>
  <si>
    <t>Pour les salles de classe</t>
  </si>
  <si>
    <t>10.1</t>
  </si>
  <si>
    <r>
      <t xml:space="preserve"> Peinture ext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rieure</t>
    </r>
  </si>
  <si>
    <r>
      <t xml:space="preserve"> - Peinture glyc</t>
    </r>
    <r>
      <rPr>
        <sz val="12"/>
        <rFont val="Calibri"/>
        <family val="2"/>
      </rPr>
      <t>é</t>
    </r>
    <r>
      <rPr>
        <sz val="12"/>
        <rFont val="Arial"/>
        <family val="2"/>
      </rPr>
      <t>rophtalique sur soubassement et parties courantes</t>
    </r>
  </si>
  <si>
    <r>
      <t xml:space="preserve"> Peinture int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rieure</t>
    </r>
  </si>
  <si>
    <t>Peinture glycero sur ouvrages bois et  metalliques</t>
  </si>
  <si>
    <r>
      <t xml:space="preserve"> - Peinture glyc</t>
    </r>
    <r>
      <rPr>
        <sz val="12"/>
        <rFont val="Calibri"/>
        <family val="2"/>
      </rPr>
      <t>é</t>
    </r>
    <r>
      <rPr>
        <sz val="12"/>
        <rFont val="Arial"/>
        <family val="2"/>
      </rPr>
      <t>rophtalique sur menuiserie bois, portes metalliques et grilles anti vol</t>
    </r>
  </si>
  <si>
    <t>Ardoisine en 2 couches sur tableau en ciment</t>
  </si>
  <si>
    <t>Claustras de 22 x 22x20, type BAD (dimension 250 cm x 110 cm) 3 par salle</t>
  </si>
  <si>
    <t>9.1</t>
  </si>
  <si>
    <t>4.1.1.1</t>
  </si>
  <si>
    <t xml:space="preserve"> TRAVAUX PRELIMINAIRES</t>
  </si>
  <si>
    <t xml:space="preserve">LOT 1 </t>
  </si>
  <si>
    <t>GROS OEUVRES</t>
  </si>
  <si>
    <t xml:space="preserve">ELEVATION </t>
  </si>
  <si>
    <t>2.2.2.3</t>
  </si>
  <si>
    <t>2.3.3.4</t>
  </si>
  <si>
    <t>Construction d'escaliers existants</t>
  </si>
  <si>
    <t>- Tableau de 6,00 x 140 avec pose craie</t>
  </si>
  <si>
    <t xml:space="preserve"> TOTAL Gros Oeuvres</t>
  </si>
  <si>
    <t>TOTAL Charpente Bois</t>
  </si>
  <si>
    <t>TOTAL Travaux Preliminaires</t>
  </si>
  <si>
    <t>TOTAL  des Terrassements</t>
  </si>
  <si>
    <t>TOTAL Couverture</t>
  </si>
  <si>
    <r>
      <t>TOTAL Etanch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it</t>
    </r>
    <r>
      <rPr>
        <b/>
        <sz val="12"/>
        <rFont val="Calibri"/>
        <family val="2"/>
      </rPr>
      <t>é</t>
    </r>
  </si>
  <si>
    <t>TOTAL Serrurerie</t>
  </si>
  <si>
    <t>TOTAL Peinture</t>
  </si>
  <si>
    <t>Couverture en tole bac aluzinc</t>
  </si>
  <si>
    <t>Etanchéité Toiture sur les têtes des tire-fonds</t>
  </si>
  <si>
    <t>7.1.1</t>
  </si>
  <si>
    <t>7.2.1</t>
  </si>
  <si>
    <t>9.1.1</t>
  </si>
  <si>
    <t>10.1.1</t>
  </si>
  <si>
    <t>10.1.2</t>
  </si>
  <si>
    <t>10.2</t>
  </si>
  <si>
    <t>10.2.1</t>
  </si>
  <si>
    <t>10.3</t>
  </si>
  <si>
    <t>10.3.1</t>
  </si>
  <si>
    <t>10.4</t>
  </si>
  <si>
    <t>10.4.1</t>
  </si>
  <si>
    <t xml:space="preserve">FONDATION </t>
  </si>
  <si>
    <t xml:space="preserve"> MACONNERIE </t>
  </si>
  <si>
    <t xml:space="preserve">Implantation des bâtiments </t>
  </si>
  <si>
    <t>Installation de chantier</t>
  </si>
  <si>
    <t>forfait</t>
  </si>
  <si>
    <r>
      <t>N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 xml:space="preserve"> D'ORD.</t>
    </r>
  </si>
  <si>
    <t xml:space="preserve">         * Enduits ext. dosés à 250 kg/m3 sur maçonnerie</t>
  </si>
  <si>
    <t xml:space="preserve"> - Béton armé pour semelle filante dosé à 350 kg/m3</t>
  </si>
  <si>
    <t xml:space="preserve">         * Enduits int. dosés à 250 kg/m3 sur maçonnerie</t>
  </si>
  <si>
    <t xml:space="preserve"> - Agglos pleins de 15 cm en brique classique</t>
  </si>
  <si>
    <t>TRAVAUX PRELIMINAIRES</t>
  </si>
  <si>
    <t>ff</t>
  </si>
  <si>
    <t>TOTAL TRAVAUX PRELIMINAIRES</t>
  </si>
  <si>
    <t>TERRASSEMENTS PARTICULIERS</t>
  </si>
  <si>
    <t>Remblai provenant des fouilles</t>
  </si>
  <si>
    <t xml:space="preserve">Remblai  sous dallage </t>
  </si>
  <si>
    <t>Sous-total Terrassement particuliers</t>
  </si>
  <si>
    <t>MACONNERIE BETON ARME</t>
  </si>
  <si>
    <t>Semelle filante EP = 20 cm dosé à 200 kg/m3</t>
  </si>
  <si>
    <t>2.2.1.2.1</t>
  </si>
  <si>
    <t>2.2.1.3.2</t>
  </si>
  <si>
    <t>Amorce des poteaux en BA dosé à 3000 kg/m3</t>
  </si>
  <si>
    <t>2.2.1.3.1</t>
  </si>
  <si>
    <t>2.2.1.3.3</t>
  </si>
  <si>
    <t>Chaînage bas en B.A dosé à 300 kg/m3</t>
  </si>
  <si>
    <t>2.2.1.4.1</t>
  </si>
  <si>
    <t>2.2.1.4.2</t>
  </si>
  <si>
    <t>2.2.1.4.3</t>
  </si>
  <si>
    <t>Agglos pleins de 15</t>
  </si>
  <si>
    <t>Dallage au sol en béton armé dosé à 300 kg/m3</t>
  </si>
  <si>
    <t>2.2.1.6.1</t>
  </si>
  <si>
    <t>Agglos 15 creux</t>
  </si>
  <si>
    <t>Poteaux et raidisseurs en béton armé dosé à 350 kg/m3</t>
  </si>
  <si>
    <t>2.2.2.3.1</t>
  </si>
  <si>
    <t>2.2.2.3.2</t>
  </si>
  <si>
    <t>2.2.2.3.3</t>
  </si>
  <si>
    <t xml:space="preserve">         * Coffrage 12 kg/m3</t>
  </si>
  <si>
    <t>Chaînage haut et linteaux dosés à 350 kg/m3</t>
  </si>
  <si>
    <t>2.2.2.5.1</t>
  </si>
  <si>
    <t>2.2.2.5.2</t>
  </si>
  <si>
    <t>2.2.2.5.3</t>
  </si>
  <si>
    <t>Console en BA dosé à 350 kg/m3</t>
  </si>
  <si>
    <t>2.2.2.8.1</t>
  </si>
  <si>
    <t>2.2.2.8.2</t>
  </si>
  <si>
    <t>2.2.2.8.3</t>
  </si>
  <si>
    <t>2.2.2.9</t>
  </si>
  <si>
    <t>2.2.2.9.1</t>
  </si>
  <si>
    <t xml:space="preserve"> * Enduits dosés à 250 kg/m3 </t>
  </si>
  <si>
    <t>2.2.2.10</t>
  </si>
  <si>
    <t xml:space="preserve">Chape incorporée et bouchardée  dosé à 300 kg/m3 </t>
  </si>
  <si>
    <t>2.2.2.11</t>
  </si>
  <si>
    <t>Claustras de 22 x 22x20, type projet BAD</t>
  </si>
  <si>
    <t>2.3.1.4</t>
  </si>
  <si>
    <t xml:space="preserve"> placard en maçonnerie </t>
  </si>
  <si>
    <t xml:space="preserve">         * placard en maçonnerie de 60 x 150 x 100 cm</t>
  </si>
  <si>
    <t>2.3.5</t>
  </si>
  <si>
    <t>Estrade</t>
  </si>
  <si>
    <t>2.3.5.1</t>
  </si>
  <si>
    <t xml:space="preserve">Fouilles en rigole </t>
  </si>
  <si>
    <t>2.3.5.2</t>
  </si>
  <si>
    <t>Remblai  sous l'estrade</t>
  </si>
  <si>
    <t>2.3.5.3</t>
  </si>
  <si>
    <t>Béton de propreté EP = 0,05 dosé à 150 kg/m3</t>
  </si>
  <si>
    <t>2.3.5.4</t>
  </si>
  <si>
    <t>Agglos pleins de 15 d'épaisseur</t>
  </si>
  <si>
    <t>2.3.5.5</t>
  </si>
  <si>
    <t>Dallage de l'estrade en béton armé dosé à 350 kg/m3</t>
  </si>
  <si>
    <t>2.3.5.5.1</t>
  </si>
  <si>
    <t>2.3.5.5.2</t>
  </si>
  <si>
    <t xml:space="preserve">         * Armature en treilli de fer diam.6</t>
  </si>
  <si>
    <t>2.3.5.5.3</t>
  </si>
  <si>
    <t>2.3.5.6</t>
  </si>
  <si>
    <t>Enduits sur l'estrade</t>
  </si>
  <si>
    <t>Charpente</t>
  </si>
  <si>
    <t>Tôle bac couleur verte foncée y/c toutes sujection de pose</t>
  </si>
  <si>
    <t xml:space="preserve">Faitiere prefabriquée </t>
  </si>
  <si>
    <t>5.1.3</t>
  </si>
  <si>
    <t>5.1.3.1</t>
  </si>
  <si>
    <t>Bardage en tôle bac colorée h=30 cm</t>
  </si>
  <si>
    <t>Etanchéité sur les têtes de pointe</t>
  </si>
  <si>
    <t>FAUX PLAFOND EN CP 8 mm</t>
  </si>
  <si>
    <t>Faux plafond en contre- plaqué de 8 mm, dans les magasins</t>
  </si>
  <si>
    <t>Pose de baguettes</t>
  </si>
  <si>
    <t>TOTAL FAUX PLAFOND EN CP 8mm</t>
  </si>
  <si>
    <t xml:space="preserve">Portes metalliques </t>
  </si>
  <si>
    <t>Porte métallique</t>
  </si>
  <si>
    <t>7.1.1.1</t>
  </si>
  <si>
    <t xml:space="preserve">  * 100 x 100 </t>
  </si>
  <si>
    <t>7.1.1.2</t>
  </si>
  <si>
    <t xml:space="preserve">  * 90 x 210</t>
  </si>
  <si>
    <t>Fenêtre</t>
  </si>
  <si>
    <t>Fenêtre métallique de deux battants</t>
  </si>
  <si>
    <t>8.1.3</t>
  </si>
  <si>
    <t>8.1.3.1</t>
  </si>
  <si>
    <t>Grès cerame 15x15 cm pour placard et console</t>
  </si>
  <si>
    <t>8.1.3.2</t>
  </si>
  <si>
    <t>faîence h=1 m</t>
  </si>
  <si>
    <t xml:space="preserve">Vinyl sur murs extérieurs  </t>
  </si>
  <si>
    <t>9.1.2</t>
  </si>
  <si>
    <t>Peinture glycérophtalique sur soubassement et parties courantes</t>
  </si>
  <si>
    <t>9.2</t>
  </si>
  <si>
    <t>9.2.1</t>
  </si>
  <si>
    <t>Vinyl sur murs intérieurs 2 couches</t>
  </si>
  <si>
    <t>9.2.2</t>
  </si>
  <si>
    <t xml:space="preserve">Vinyl faux plafond et séparateur de placard en c/p, 2 couches </t>
  </si>
  <si>
    <t>9.3</t>
  </si>
  <si>
    <t>9.3.1</t>
  </si>
  <si>
    <t xml:space="preserve">Peinture glycérophtalique sur portes et fenêtres metalliques </t>
  </si>
  <si>
    <t>Total Cantine</t>
  </si>
  <si>
    <t>MONTANT TOTAL DU MARCHE</t>
  </si>
  <si>
    <t>CONSTRUCTION DE TROIS SALLES  CLASSES + BUREAU</t>
  </si>
  <si>
    <t>CONSTRUCTION DE CANTINE</t>
  </si>
  <si>
    <r>
      <t>m</t>
    </r>
    <r>
      <rPr>
        <vertAlign val="superscript"/>
        <sz val="11"/>
        <rFont val="Calibri"/>
        <family val="2"/>
        <scheme val="minor"/>
      </rPr>
      <t>3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</si>
  <si>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</si>
  <si>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t>2.3.4.3</t>
  </si>
  <si>
    <t>- Tableau synoptique de 3,00 x 140 pour classes et bureau</t>
  </si>
  <si>
    <t>TOTAL 3 CLASSES + BUREAU</t>
  </si>
  <si>
    <t>TRAVAUX PRELIMINAIRES ET ASSAINISSEMENT</t>
  </si>
  <si>
    <t>1.2.1</t>
  </si>
  <si>
    <t xml:space="preserve">Fouille en excavation </t>
  </si>
  <si>
    <t>1.2.2</t>
  </si>
  <si>
    <t>Remblais de terre autour de la fosse</t>
  </si>
  <si>
    <t>SOUS/TOTAL terrassement</t>
  </si>
  <si>
    <t>TOTAL TRAVAUX PRELIMINAIRES ET ASSAINISSEMENT</t>
  </si>
  <si>
    <t xml:space="preserve"> MACONNERIE BETON ARME</t>
  </si>
  <si>
    <t>2.1.1</t>
  </si>
  <si>
    <t>2.1.1.1</t>
  </si>
  <si>
    <t xml:space="preserve"> - Agglos pleins de 15 en ciment</t>
  </si>
  <si>
    <t>2.1.1.2</t>
  </si>
  <si>
    <t xml:space="preserve"> - Raidisseur en béton armé dosé à 350 kg/m3</t>
  </si>
  <si>
    <t>2.1.1.3</t>
  </si>
  <si>
    <t>- Dallage en B.A de 15 cm</t>
  </si>
  <si>
    <t xml:space="preserve">         * Aciers Tors HA 12 kg/m3</t>
  </si>
  <si>
    <t>2.1.1.4</t>
  </si>
  <si>
    <t xml:space="preserve">        * Béton</t>
  </si>
  <si>
    <t xml:space="preserve">        * Aciers Tors HA  80 kg/m3</t>
  </si>
  <si>
    <t xml:space="preserve">        * Coffrage 12 m2/m3</t>
  </si>
  <si>
    <t>2.1.2</t>
  </si>
  <si>
    <t>2.1.2.1</t>
  </si>
  <si>
    <t>2.1.2.2</t>
  </si>
  <si>
    <t>- Raidisseur en béton armé dosé à 350 kg/m3</t>
  </si>
  <si>
    <t>2.1.2.3</t>
  </si>
  <si>
    <t>- Chainage haut en béton armé dosé à 350 kg/m3</t>
  </si>
  <si>
    <t>2.1.2.4</t>
  </si>
  <si>
    <t xml:space="preserve">         * Enduits dosés à 250 kg/m3 </t>
  </si>
  <si>
    <t>2.1.2.5</t>
  </si>
  <si>
    <t>Claustras de 24 x 24 carré, type projet BAD</t>
  </si>
  <si>
    <r>
      <t>m</t>
    </r>
    <r>
      <rPr>
        <vertAlign val="superscript"/>
        <sz val="12"/>
        <rFont val="Arial "/>
      </rPr>
      <t>2</t>
    </r>
  </si>
  <si>
    <t>2.2</t>
  </si>
  <si>
    <t xml:space="preserve"> Escalier en agglos pleins de 15 cm d'épaisseur</t>
  </si>
  <si>
    <t>Panne de 8 x 8cm</t>
  </si>
  <si>
    <t>5.1.1.1</t>
  </si>
  <si>
    <t>5.1.2</t>
  </si>
  <si>
    <t>5.1.2.1</t>
  </si>
  <si>
    <t>5.1.4</t>
  </si>
  <si>
    <t>Acessoires de pose</t>
  </si>
  <si>
    <t>5.1.4.1</t>
  </si>
  <si>
    <t>Tire- fonds complets</t>
  </si>
  <si>
    <t>6.1</t>
  </si>
  <si>
    <t>6.1.1</t>
  </si>
  <si>
    <t>Etanchéité sur les têtes des tire-fonds</t>
  </si>
  <si>
    <t>Portes metalliques</t>
  </si>
  <si>
    <t>Porte métallique tôlée sur une face</t>
  </si>
  <si>
    <t xml:space="preserve">  * 70 x 200</t>
  </si>
  <si>
    <t>PLOMBERIE SANITAIRE</t>
  </si>
  <si>
    <t>8.1</t>
  </si>
  <si>
    <t xml:space="preserve"> PLOMBERIE</t>
  </si>
  <si>
    <t>8.1.1</t>
  </si>
  <si>
    <t>Appareillage</t>
  </si>
  <si>
    <t>8.1.1.1</t>
  </si>
  <si>
    <t>8.1.1.2</t>
  </si>
  <si>
    <t>TOTAL PLOMBERIE</t>
  </si>
  <si>
    <t xml:space="preserve">Grès cerame 15x15 cm au sol </t>
  </si>
  <si>
    <t>9.1.1.2</t>
  </si>
  <si>
    <t>Vernis marin sur mur en BTCS (intérieur et extérieur)</t>
  </si>
  <si>
    <t xml:space="preserve"> - Peinture glycérophtalique sur portes métalliques</t>
  </si>
  <si>
    <t>LATRINE</t>
  </si>
  <si>
    <t>Nettoyage et décapage du terrain</t>
  </si>
  <si>
    <t>Nettoyage et décapage</t>
  </si>
  <si>
    <t xml:space="preserve"> - Fouilles en rigole pour terrasse 85 x 60 cm</t>
  </si>
  <si>
    <t>Fosse de 2,00 m x 3,50 m, profondeur: 3 m</t>
  </si>
  <si>
    <t xml:space="preserve">         * Enduits int. 1 face dosés à 250 kg/m3 de la fosse</t>
  </si>
  <si>
    <t>- Dalle de fermeture en béton armé ép = 10 cm</t>
  </si>
  <si>
    <t>Couverture en tole bac aluzinc colorée 7/10</t>
  </si>
  <si>
    <t>Bardage en tôle bac aluzinc 7/10 ht=40 cm</t>
  </si>
  <si>
    <t xml:space="preserve">Tube en PVC pour ventillationdes fosses diam Ø 80 y/c toute sujétion de pose </t>
  </si>
  <si>
    <t>WC à la tutque</t>
  </si>
  <si>
    <t>Dispositif de lavage des mains mobile avec pédale</t>
  </si>
  <si>
    <t>Faîence h=1 m dans les cabines et sur muret</t>
  </si>
  <si>
    <t xml:space="preserve"> - Vinyl sur claustras 2 couches</t>
  </si>
  <si>
    <t xml:space="preserve"> - Peinture glycérophtalique sur parties courantes </t>
  </si>
  <si>
    <t>11.3</t>
  </si>
  <si>
    <t xml:space="preserve"> - Vernis acrylique 380 d'impregnation sur BTCS</t>
  </si>
  <si>
    <t>Total bloc latrine à 3 cabines à fosse sèche avec lave-main</t>
  </si>
  <si>
    <t>COEFFICIENT D'ELOIGNEMENT</t>
  </si>
  <si>
    <t>TOTAL  HT</t>
  </si>
  <si>
    <t xml:space="preserve">Construction de deux blocs de latrine 3 cabines à fosse sèche (FS) avec dispositif de lavage de mains à pédale </t>
  </si>
  <si>
    <t xml:space="preserve"> - Dallage au sol en béton armé dosé à 300 kg/m3 ép=10cm</t>
  </si>
  <si>
    <t xml:space="preserve"> - Mur en agglos creux de 15 cm d'épaisseur</t>
  </si>
  <si>
    <t>Couverture en tôle bac aluzinc colorée 7/10 y/c tire-fonds</t>
  </si>
  <si>
    <r>
      <t>Faitiere prefabriqu</t>
    </r>
    <r>
      <rPr>
        <sz val="12"/>
        <rFont val="Calibri"/>
        <family val="2"/>
      </rPr>
      <t>é</t>
    </r>
    <r>
      <rPr>
        <sz val="12"/>
        <rFont val="Arial"/>
        <family val="2"/>
      </rPr>
      <t>e en bac aluzinc colorée 7/10 y/c tire-fonds</t>
    </r>
  </si>
  <si>
    <t>Tôle onduilée colorée ht= 40 cm</t>
  </si>
  <si>
    <t>Porte métallique  146 x 220 pour classes</t>
  </si>
  <si>
    <t>Tableau</t>
  </si>
  <si>
    <t xml:space="preserve">Enduit pentécôte sur mur </t>
  </si>
  <si>
    <t>Coefficient d'éloignement</t>
  </si>
  <si>
    <t>TOTAL GENERAL 3 CLASSES + BUREAU HT</t>
  </si>
  <si>
    <t>Linéaire de fouille</t>
  </si>
  <si>
    <t>Placards en maçonnerie des classes et bureaux (140 cm x 200 cm)</t>
  </si>
  <si>
    <t>Bibliothèques en maçonnerie des classes et bureaux (140 cm x 200 cm)</t>
  </si>
  <si>
    <t>Escalier en agglos pleins de 15 d'épaisseur</t>
  </si>
  <si>
    <t>Nombre de blocs</t>
  </si>
  <si>
    <t>Porte métallique  90 x 220 pour classes</t>
  </si>
  <si>
    <t>Fouilles en rigole 85 x 60 cm</t>
  </si>
  <si>
    <t xml:space="preserve">         * Aciers Tors HA  80 kg/m3</t>
  </si>
  <si>
    <t xml:space="preserve">Devis de constructoin d'une cantine </t>
  </si>
  <si>
    <t xml:space="preserve"> - Mur en agglos 15 creux</t>
  </si>
  <si>
    <t xml:space="preserve">  CONSTRUCTION D'UN BATIMENT TROIS CLASSES + BUREAU </t>
  </si>
  <si>
    <t xml:space="preserve">RECAPITULATIF </t>
  </si>
  <si>
    <t>TOTAL MARCHE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</si>
</sst>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00"/>
    <numFmt numFmtId="166" formatCode="_-* #,##0_-;\-* #,##0_-;_-* &quot;-&quot;??_-;_-@_-"/>
    <numFmt numFmtId="167" formatCode="_-* #,##0.00\ _€_-;\-* #,##0.00\ _€_-;_-* &quot;-&quot;??\ _€_-;_-@_-"/>
    <numFmt numFmtId="168" formatCode="_-* #,##0\ _€_-;\-* #,##0\ _€_-;_-* &quot;-&quot;??\ _€_-;_-@_-"/>
    <numFmt numFmtId="169" formatCode="_-* #,##0.0_-;\-* #,##0.0_-;_-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i/>
      <sz val="12"/>
      <name val="Arial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2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"/>
    </font>
    <font>
      <sz val="11"/>
      <name val="Arial "/>
    </font>
    <font>
      <b/>
      <sz val="12"/>
      <name val="Arial "/>
    </font>
    <font>
      <b/>
      <i/>
      <sz val="12"/>
      <name val="Arial "/>
    </font>
    <font>
      <b/>
      <sz val="14"/>
      <name val="Arial "/>
    </font>
    <font>
      <i/>
      <sz val="12"/>
      <name val="Arial "/>
    </font>
    <font>
      <vertAlign val="superscript"/>
      <sz val="12"/>
      <name val="Arial "/>
    </font>
    <font>
      <sz val="10"/>
      <name val="Arial"/>
    </font>
    <font>
      <b/>
      <sz val="12"/>
      <color rgb="FF00B050"/>
      <name val="Arial"/>
      <family val="2"/>
    </font>
    <font>
      <b/>
      <i/>
      <sz val="11"/>
      <color rgb="FF92D05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4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6" xfId="0" applyFont="1" applyBorder="1"/>
    <xf numFmtId="0" fontId="5" fillId="0" borderId="18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2" fontId="5" fillId="0" borderId="18" xfId="0" applyNumberFormat="1" applyFont="1" applyBorder="1" applyAlignment="1">
      <alignment horizontal="center"/>
    </xf>
    <xf numFmtId="0" fontId="5" fillId="0" borderId="10" xfId="0" applyFont="1" applyBorder="1"/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6" xfId="0" quotePrefix="1" applyFont="1" applyBorder="1"/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9" fillId="0" borderId="0" xfId="0" applyFont="1"/>
    <xf numFmtId="0" fontId="5" fillId="0" borderId="18" xfId="0" applyFont="1" applyBorder="1" applyAlignment="1">
      <alignment horizontal="left"/>
    </xf>
    <xf numFmtId="0" fontId="5" fillId="0" borderId="0" xfId="0" applyFont="1"/>
    <xf numFmtId="0" fontId="4" fillId="0" borderId="0" xfId="0" applyFont="1"/>
    <xf numFmtId="0" fontId="5" fillId="6" borderId="0" xfId="0" applyFont="1" applyFill="1"/>
    <xf numFmtId="0" fontId="5" fillId="6" borderId="18" xfId="0" applyFont="1" applyFill="1" applyBorder="1" applyAlignment="1">
      <alignment horizontal="center"/>
    </xf>
    <xf numFmtId="2" fontId="5" fillId="6" borderId="18" xfId="0" applyNumberFormat="1" applyFont="1" applyFill="1" applyBorder="1" applyAlignment="1">
      <alignment horizontal="center"/>
    </xf>
    <xf numFmtId="0" fontId="5" fillId="6" borderId="0" xfId="0" applyFont="1" applyFill="1" applyAlignment="1">
      <alignment wrapText="1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6" borderId="12" xfId="0" applyFont="1" applyFill="1" applyBorder="1" applyAlignment="1">
      <alignment horizontal="left"/>
    </xf>
    <xf numFmtId="0" fontId="6" fillId="6" borderId="19" xfId="0" applyFont="1" applyFill="1" applyBorder="1"/>
    <xf numFmtId="0" fontId="5" fillId="6" borderId="12" xfId="0" applyFont="1" applyFill="1" applyBorder="1" applyAlignment="1">
      <alignment horizontal="center"/>
    </xf>
    <xf numFmtId="0" fontId="1" fillId="6" borderId="0" xfId="0" applyFont="1" applyFill="1"/>
    <xf numFmtId="0" fontId="6" fillId="0" borderId="12" xfId="0" applyFont="1" applyBorder="1" applyAlignment="1">
      <alignment horizontal="left"/>
    </xf>
    <xf numFmtId="0" fontId="6" fillId="0" borderId="0" xfId="0" applyFont="1"/>
    <xf numFmtId="0" fontId="6" fillId="0" borderId="18" xfId="0" applyFont="1" applyBorder="1"/>
    <xf numFmtId="0" fontId="5" fillId="0" borderId="20" xfId="0" applyFont="1" applyBorder="1"/>
    <xf numFmtId="0" fontId="1" fillId="0" borderId="12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" fillId="0" borderId="18" xfId="0" applyFont="1" applyBorder="1"/>
    <xf numFmtId="165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7" borderId="10" xfId="0" applyFont="1" applyFill="1" applyBorder="1"/>
    <xf numFmtId="0" fontId="6" fillId="7" borderId="13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center"/>
    </xf>
    <xf numFmtId="2" fontId="5" fillId="7" borderId="10" xfId="0" applyNumberFormat="1" applyFont="1" applyFill="1" applyBorder="1" applyAlignment="1">
      <alignment horizontal="center"/>
    </xf>
    <xf numFmtId="0" fontId="5" fillId="9" borderId="13" xfId="0" applyFont="1" applyFill="1" applyBorder="1"/>
    <xf numFmtId="0" fontId="6" fillId="9" borderId="14" xfId="0" applyFont="1" applyFill="1" applyBorder="1"/>
    <xf numFmtId="0" fontId="5" fillId="9" borderId="14" xfId="0" applyFont="1" applyFill="1" applyBorder="1" applyAlignment="1">
      <alignment horizontal="center"/>
    </xf>
    <xf numFmtId="2" fontId="6" fillId="9" borderId="14" xfId="0" applyNumberFormat="1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4" borderId="16" xfId="0" applyFont="1" applyFill="1" applyBorder="1" applyAlignment="1">
      <alignment horizontal="left"/>
    </xf>
    <xf numFmtId="0" fontId="6" fillId="4" borderId="16" xfId="0" applyFont="1" applyFill="1" applyBorder="1"/>
    <xf numFmtId="0" fontId="5" fillId="4" borderId="18" xfId="0" applyFont="1" applyFill="1" applyBorder="1" applyAlignment="1">
      <alignment horizontal="center"/>
    </xf>
    <xf numFmtId="2" fontId="5" fillId="4" borderId="18" xfId="0" applyNumberFormat="1" applyFont="1" applyFill="1" applyBorder="1" applyAlignment="1">
      <alignment horizontal="center"/>
    </xf>
    <xf numFmtId="0" fontId="1" fillId="0" borderId="12" xfId="0" applyFont="1" applyBorder="1"/>
    <xf numFmtId="0" fontId="6" fillId="4" borderId="16" xfId="0" quotePrefix="1" applyFont="1" applyFill="1" applyBorder="1"/>
    <xf numFmtId="0" fontId="6" fillId="4" borderId="18" xfId="0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5" fillId="10" borderId="10" xfId="0" applyFont="1" applyFill="1" applyBorder="1"/>
    <xf numFmtId="0" fontId="6" fillId="10" borderId="13" xfId="0" applyFont="1" applyFill="1" applyBorder="1" applyAlignment="1">
      <alignment horizontal="right"/>
    </xf>
    <xf numFmtId="0" fontId="5" fillId="10" borderId="10" xfId="0" applyFont="1" applyFill="1" applyBorder="1" applyAlignment="1">
      <alignment horizontal="center"/>
    </xf>
    <xf numFmtId="2" fontId="6" fillId="10" borderId="10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left"/>
    </xf>
    <xf numFmtId="0" fontId="6" fillId="10" borderId="14" xfId="0" applyFont="1" applyFill="1" applyBorder="1" applyAlignment="1">
      <alignment horizontal="right"/>
    </xf>
    <xf numFmtId="0" fontId="12" fillId="0" borderId="0" xfId="0" applyFont="1"/>
    <xf numFmtId="0" fontId="6" fillId="0" borderId="19" xfId="0" applyFont="1" applyBorder="1"/>
    <xf numFmtId="49" fontId="5" fillId="0" borderId="0" xfId="0" applyNumberFormat="1" applyFont="1"/>
    <xf numFmtId="0" fontId="5" fillId="6" borderId="18" xfId="0" applyFont="1" applyFill="1" applyBorder="1" applyAlignment="1">
      <alignment horizontal="left"/>
    </xf>
    <xf numFmtId="0" fontId="6" fillId="11" borderId="18" xfId="0" applyFont="1" applyFill="1" applyBorder="1" applyAlignment="1">
      <alignment horizontal="left"/>
    </xf>
    <xf numFmtId="0" fontId="5" fillId="11" borderId="18" xfId="0" applyFont="1" applyFill="1" applyBorder="1" applyAlignment="1">
      <alignment horizontal="center"/>
    </xf>
    <xf numFmtId="2" fontId="5" fillId="11" borderId="18" xfId="0" applyNumberFormat="1" applyFont="1" applyFill="1" applyBorder="1" applyAlignment="1">
      <alignment horizontal="center"/>
    </xf>
    <xf numFmtId="0" fontId="6" fillId="11" borderId="18" xfId="0" applyFont="1" applyFill="1" applyBorder="1"/>
    <xf numFmtId="0" fontId="4" fillId="0" borderId="13" xfId="0" applyFont="1" applyBorder="1" applyAlignment="1">
      <alignment horizontal="right"/>
    </xf>
    <xf numFmtId="0" fontId="6" fillId="11" borderId="0" xfId="0" applyFont="1" applyFill="1"/>
    <xf numFmtId="0" fontId="6" fillId="11" borderId="16" xfId="0" applyFont="1" applyFill="1" applyBorder="1" applyAlignment="1">
      <alignment horizontal="left"/>
    </xf>
    <xf numFmtId="0" fontId="6" fillId="11" borderId="16" xfId="0" applyFont="1" applyFill="1" applyBorder="1" applyAlignment="1">
      <alignment wrapText="1"/>
    </xf>
    <xf numFmtId="0" fontId="6" fillId="11" borderId="18" xfId="0" applyFont="1" applyFill="1" applyBorder="1" applyAlignment="1">
      <alignment horizontal="center"/>
    </xf>
    <xf numFmtId="2" fontId="6" fillId="11" borderId="18" xfId="0" applyNumberFormat="1" applyFont="1" applyFill="1" applyBorder="1" applyAlignment="1">
      <alignment horizontal="center"/>
    </xf>
    <xf numFmtId="0" fontId="6" fillId="11" borderId="16" xfId="0" applyFont="1" applyFill="1" applyBorder="1"/>
    <xf numFmtId="0" fontId="6" fillId="6" borderId="16" xfId="0" applyFont="1" applyFill="1" applyBorder="1" applyAlignment="1">
      <alignment horizontal="left"/>
    </xf>
    <xf numFmtId="0" fontId="6" fillId="6" borderId="16" xfId="0" applyFont="1" applyFill="1" applyBorder="1"/>
    <xf numFmtId="0" fontId="5" fillId="6" borderId="16" xfId="0" applyFont="1" applyFill="1" applyBorder="1" applyAlignment="1">
      <alignment horizontal="left"/>
    </xf>
    <xf numFmtId="0" fontId="5" fillId="6" borderId="16" xfId="0" applyFont="1" applyFill="1" applyBorder="1"/>
    <xf numFmtId="0" fontId="13" fillId="0" borderId="10" xfId="0" applyFont="1" applyBorder="1" applyAlignment="1">
      <alignment vertical="center"/>
    </xf>
    <xf numFmtId="49" fontId="15" fillId="0" borderId="0" xfId="0" applyNumberFormat="1" applyFont="1" applyAlignment="1">
      <alignment horizontal="left" vertical="top"/>
    </xf>
    <xf numFmtId="0" fontId="15" fillId="0" borderId="0" xfId="0" applyFont="1"/>
    <xf numFmtId="4" fontId="15" fillId="0" borderId="0" xfId="0" applyNumberFormat="1" applyFont="1"/>
    <xf numFmtId="49" fontId="15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23" xfId="0" applyFont="1" applyBorder="1"/>
    <xf numFmtId="49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/>
    </xf>
    <xf numFmtId="0" fontId="6" fillId="5" borderId="24" xfId="0" applyFont="1" applyFill="1" applyBorder="1" applyAlignment="1">
      <alignment horizontal="center" vertical="center" wrapText="1"/>
    </xf>
    <xf numFmtId="3" fontId="6" fillId="5" borderId="25" xfId="0" applyNumberFormat="1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/>
    </xf>
    <xf numFmtId="0" fontId="17" fillId="0" borderId="0" xfId="0" applyFont="1"/>
    <xf numFmtId="4" fontId="17" fillId="0" borderId="0" xfId="0" applyNumberFormat="1" applyFont="1"/>
    <xf numFmtId="0" fontId="16" fillId="2" borderId="5" xfId="0" applyFont="1" applyFill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top"/>
    </xf>
    <xf numFmtId="49" fontId="17" fillId="0" borderId="1" xfId="0" applyNumberFormat="1" applyFont="1" applyBorder="1" applyAlignment="1">
      <alignment horizontal="center" vertical="top"/>
    </xf>
    <xf numFmtId="3" fontId="17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0" fontId="16" fillId="4" borderId="2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3" fontId="17" fillId="4" borderId="1" xfId="0" applyNumberFormat="1" applyFont="1" applyFill="1" applyBorder="1" applyAlignment="1">
      <alignment horizontal="right"/>
    </xf>
    <xf numFmtId="4" fontId="17" fillId="4" borderId="1" xfId="0" applyNumberFormat="1" applyFont="1" applyFill="1" applyBorder="1" applyAlignment="1">
      <alignment horizontal="right"/>
    </xf>
    <xf numFmtId="0" fontId="17" fillId="6" borderId="2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center"/>
    </xf>
    <xf numFmtId="4" fontId="17" fillId="6" borderId="1" xfId="0" applyNumberFormat="1" applyFont="1" applyFill="1" applyBorder="1"/>
    <xf numFmtId="3" fontId="17" fillId="6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right" vertical="top" wrapText="1"/>
    </xf>
    <xf numFmtId="3" fontId="17" fillId="5" borderId="1" xfId="0" applyNumberFormat="1" applyFont="1" applyFill="1" applyBorder="1" applyAlignment="1">
      <alignment horizontal="right"/>
    </xf>
    <xf numFmtId="4" fontId="17" fillId="5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7" fillId="3" borderId="2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7" fillId="6" borderId="1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right"/>
    </xf>
    <xf numFmtId="16" fontId="16" fillId="0" borderId="2" xfId="0" applyNumberFormat="1" applyFont="1" applyBorder="1" applyAlignment="1">
      <alignment horizontal="left" vertical="center"/>
    </xf>
    <xf numFmtId="0" fontId="19" fillId="3" borderId="1" xfId="0" applyFont="1" applyFill="1" applyBorder="1" applyAlignment="1">
      <alignment horizontal="right" vertical="top" wrapText="1"/>
    </xf>
    <xf numFmtId="3" fontId="17" fillId="3" borderId="1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/>
    </xf>
    <xf numFmtId="0" fontId="19" fillId="0" borderId="3" xfId="0" applyFont="1" applyBorder="1"/>
    <xf numFmtId="0" fontId="17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6" fillId="6" borderId="2" xfId="0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17" fillId="6" borderId="3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2" fontId="17" fillId="0" borderId="1" xfId="0" applyNumberFormat="1" applyFont="1" applyBorder="1" applyAlignment="1">
      <alignment horizontal="center" vertical="center"/>
    </xf>
    <xf numFmtId="16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4" fontId="17" fillId="0" borderId="1" xfId="0" applyNumberFormat="1" applyFont="1" applyBorder="1"/>
    <xf numFmtId="0" fontId="16" fillId="0" borderId="1" xfId="0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49" fontId="17" fillId="6" borderId="2" xfId="0" applyNumberFormat="1" applyFont="1" applyFill="1" applyBorder="1" applyAlignment="1">
      <alignment horizontal="left" vertical="top"/>
    </xf>
    <xf numFmtId="0" fontId="16" fillId="6" borderId="1" xfId="0" applyFont="1" applyFill="1" applyBorder="1" applyAlignment="1">
      <alignment horizontal="right" vertical="top" wrapText="1"/>
    </xf>
    <xf numFmtId="3" fontId="17" fillId="6" borderId="1" xfId="0" applyNumberFormat="1" applyFont="1" applyFill="1" applyBorder="1" applyAlignment="1">
      <alignment horizontal="right"/>
    </xf>
    <xf numFmtId="4" fontId="17" fillId="6" borderId="1" xfId="0" applyNumberFormat="1" applyFont="1" applyFill="1" applyBorder="1" applyAlignment="1">
      <alignment horizontal="center" vertical="center"/>
    </xf>
    <xf numFmtId="0" fontId="17" fillId="0" borderId="2" xfId="0" applyFont="1" applyBorder="1"/>
    <xf numFmtId="4" fontId="17" fillId="0" borderId="1" xfId="0" applyNumberFormat="1" applyFont="1" applyBorder="1" applyAlignment="1">
      <alignment vertical="center" wrapText="1"/>
    </xf>
    <xf numFmtId="0" fontId="17" fillId="0" borderId="3" xfId="0" applyFont="1" applyBorder="1" applyAlignment="1">
      <alignment horizontal="left" wrapText="1"/>
    </xf>
    <xf numFmtId="3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top"/>
    </xf>
    <xf numFmtId="0" fontId="17" fillId="5" borderId="1" xfId="0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top"/>
    </xf>
    <xf numFmtId="49" fontId="17" fillId="0" borderId="2" xfId="0" applyNumberFormat="1" applyFont="1" applyBorder="1" applyAlignment="1">
      <alignment horizontal="center" vertical="top"/>
    </xf>
    <xf numFmtId="0" fontId="16" fillId="5" borderId="1" xfId="0" applyFont="1" applyFill="1" applyBorder="1" applyAlignment="1">
      <alignment vertical="top" wrapText="1"/>
    </xf>
    <xf numFmtId="49" fontId="17" fillId="6" borderId="2" xfId="0" applyNumberFormat="1" applyFont="1" applyFill="1" applyBorder="1" applyAlignment="1">
      <alignment horizontal="center" vertical="top"/>
    </xf>
    <xf numFmtId="0" fontId="16" fillId="6" borderId="1" xfId="0" applyFont="1" applyFill="1" applyBorder="1" applyAlignment="1">
      <alignment vertical="top" wrapText="1"/>
    </xf>
    <xf numFmtId="0" fontId="16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wrapText="1"/>
    </xf>
    <xf numFmtId="3" fontId="16" fillId="5" borderId="1" xfId="0" applyNumberFormat="1" applyFont="1" applyFill="1" applyBorder="1" applyAlignment="1">
      <alignment horizontal="center"/>
    </xf>
    <xf numFmtId="0" fontId="21" fillId="0" borderId="0" xfId="0" applyFont="1"/>
    <xf numFmtId="0" fontId="5" fillId="6" borderId="13" xfId="0" applyFont="1" applyFill="1" applyBorder="1"/>
    <xf numFmtId="0" fontId="6" fillId="6" borderId="14" xfId="0" applyFont="1" applyFill="1" applyBorder="1" applyAlignment="1">
      <alignment horizontal="right"/>
    </xf>
    <xf numFmtId="0" fontId="5" fillId="6" borderId="14" xfId="0" applyFont="1" applyFill="1" applyBorder="1" applyAlignment="1">
      <alignment horizontal="center"/>
    </xf>
    <xf numFmtId="2" fontId="6" fillId="6" borderId="14" xfId="0" applyNumberFormat="1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3" fillId="0" borderId="0" xfId="4"/>
    <xf numFmtId="4" fontId="3" fillId="0" borderId="0" xfId="4" applyNumberFormat="1" applyAlignment="1">
      <alignment horizontal="center"/>
    </xf>
    <xf numFmtId="168" fontId="3" fillId="0" borderId="0" xfId="5" applyNumberFormat="1" applyFont="1" applyAlignment="1"/>
    <xf numFmtId="0" fontId="2" fillId="0" borderId="0" xfId="4" applyFont="1"/>
    <xf numFmtId="0" fontId="22" fillId="2" borderId="26" xfId="4" applyFont="1" applyFill="1" applyBorder="1" applyAlignment="1">
      <alignment horizontal="center" vertical="center" wrapText="1"/>
    </xf>
    <xf numFmtId="0" fontId="22" fillId="2" borderId="27" xfId="4" applyFont="1" applyFill="1" applyBorder="1" applyAlignment="1">
      <alignment horizontal="center" vertical="center" wrapText="1"/>
    </xf>
    <xf numFmtId="4" fontId="22" fillId="2" borderId="27" xfId="4" applyNumberFormat="1" applyFont="1" applyFill="1" applyBorder="1" applyAlignment="1">
      <alignment horizontal="center" vertical="center" wrapText="1"/>
    </xf>
    <xf numFmtId="168" fontId="22" fillId="2" borderId="27" xfId="5" applyNumberFormat="1" applyFont="1" applyFill="1" applyBorder="1" applyAlignment="1" applyProtection="1">
      <alignment vertical="center" wrapText="1"/>
      <protection locked="0"/>
    </xf>
    <xf numFmtId="0" fontId="23" fillId="0" borderId="0" xfId="4" applyFont="1"/>
    <xf numFmtId="49" fontId="2" fillId="0" borderId="2" xfId="4" applyNumberFormat="1" applyFont="1" applyBorder="1" applyAlignment="1">
      <alignment horizontal="left" vertical="top"/>
    </xf>
    <xf numFmtId="49" fontId="2" fillId="0" borderId="3" xfId="4" applyNumberFormat="1" applyFont="1" applyBorder="1" applyAlignment="1">
      <alignment horizontal="center" vertical="top"/>
    </xf>
    <xf numFmtId="3" fontId="2" fillId="0" borderId="1" xfId="4" applyNumberFormat="1" applyFont="1" applyBorder="1" applyAlignment="1">
      <alignment horizontal="right"/>
    </xf>
    <xf numFmtId="4" fontId="2" fillId="0" borderId="1" xfId="4" applyNumberFormat="1" applyFont="1" applyBorder="1" applyAlignment="1">
      <alignment horizontal="center"/>
    </xf>
    <xf numFmtId="168" fontId="2" fillId="0" borderId="1" xfId="5" applyNumberFormat="1" applyFont="1" applyBorder="1" applyAlignment="1" applyProtection="1">
      <protection locked="0"/>
    </xf>
    <xf numFmtId="3" fontId="2" fillId="0" borderId="1" xfId="4" applyNumberFormat="1" applyFont="1" applyBorder="1" applyAlignment="1">
      <alignment horizontal="center"/>
    </xf>
    <xf numFmtId="0" fontId="24" fillId="4" borderId="2" xfId="4" applyFont="1" applyFill="1" applyBorder="1" applyAlignment="1">
      <alignment horizontal="center"/>
    </xf>
    <xf numFmtId="0" fontId="24" fillId="4" borderId="3" xfId="4" applyFont="1" applyFill="1" applyBorder="1" applyAlignment="1">
      <alignment horizontal="left"/>
    </xf>
    <xf numFmtId="3" fontId="2" fillId="4" borderId="1" xfId="4" applyNumberFormat="1" applyFont="1" applyFill="1" applyBorder="1" applyAlignment="1">
      <alignment horizontal="right"/>
    </xf>
    <xf numFmtId="4" fontId="2" fillId="4" borderId="1" xfId="4" applyNumberFormat="1" applyFont="1" applyFill="1" applyBorder="1" applyAlignment="1">
      <alignment horizontal="center"/>
    </xf>
    <xf numFmtId="168" fontId="2" fillId="4" borderId="1" xfId="5" applyNumberFormat="1" applyFont="1" applyFill="1" applyBorder="1" applyAlignment="1" applyProtection="1">
      <protection locked="0"/>
    </xf>
    <xf numFmtId="3" fontId="2" fillId="4" borderId="1" xfId="4" applyNumberFormat="1" applyFont="1" applyFill="1" applyBorder="1" applyAlignment="1">
      <alignment horizontal="center"/>
    </xf>
    <xf numFmtId="0" fontId="2" fillId="0" borderId="2" xfId="4" applyFont="1" applyBorder="1" applyAlignment="1">
      <alignment horizontal="left"/>
    </xf>
    <xf numFmtId="0" fontId="2" fillId="0" borderId="3" xfId="4" applyFont="1" applyBorder="1" applyAlignment="1">
      <alignment horizontal="center"/>
    </xf>
    <xf numFmtId="0" fontId="2" fillId="0" borderId="1" xfId="4" applyFont="1" applyBorder="1" applyAlignment="1">
      <alignment horizontal="center"/>
    </xf>
    <xf numFmtId="3" fontId="2" fillId="0" borderId="1" xfId="4" applyNumberFormat="1" applyFont="1" applyBorder="1" applyAlignment="1">
      <alignment horizontal="center" vertical="center"/>
    </xf>
    <xf numFmtId="0" fontId="24" fillId="0" borderId="2" xfId="4" applyFont="1" applyBorder="1" applyAlignment="1">
      <alignment horizontal="left"/>
    </xf>
    <xf numFmtId="0" fontId="24" fillId="6" borderId="3" xfId="4" applyFont="1" applyFill="1" applyBorder="1"/>
    <xf numFmtId="0" fontId="2" fillId="0" borderId="3" xfId="4" applyFont="1" applyBorder="1"/>
    <xf numFmtId="0" fontId="2" fillId="10" borderId="2" xfId="4" applyFont="1" applyFill="1" applyBorder="1" applyAlignment="1">
      <alignment horizontal="left"/>
    </xf>
    <xf numFmtId="0" fontId="25" fillId="10" borderId="3" xfId="4" applyFont="1" applyFill="1" applyBorder="1" applyAlignment="1">
      <alignment horizontal="center"/>
    </xf>
    <xf numFmtId="0" fontId="2" fillId="10" borderId="1" xfId="4" applyFont="1" applyFill="1" applyBorder="1" applyAlignment="1">
      <alignment horizontal="center"/>
    </xf>
    <xf numFmtId="4" fontId="2" fillId="10" borderId="1" xfId="4" applyNumberFormat="1" applyFont="1" applyFill="1" applyBorder="1" applyAlignment="1">
      <alignment horizontal="center"/>
    </xf>
    <xf numFmtId="168" fontId="2" fillId="10" borderId="1" xfId="5" applyNumberFormat="1" applyFont="1" applyFill="1" applyBorder="1" applyAlignment="1" applyProtection="1">
      <protection locked="0"/>
    </xf>
    <xf numFmtId="3" fontId="26" fillId="10" borderId="1" xfId="4" applyNumberFormat="1" applyFont="1" applyFill="1" applyBorder="1" applyAlignment="1">
      <alignment horizontal="center" vertical="center"/>
    </xf>
    <xf numFmtId="0" fontId="24" fillId="5" borderId="3" xfId="4" applyFont="1" applyFill="1" applyBorder="1" applyAlignment="1">
      <alignment horizontal="right" vertical="top"/>
    </xf>
    <xf numFmtId="3" fontId="2" fillId="5" borderId="1" xfId="4" applyNumberFormat="1" applyFont="1" applyFill="1" applyBorder="1" applyAlignment="1">
      <alignment horizontal="right"/>
    </xf>
    <xf numFmtId="4" fontId="2" fillId="5" borderId="1" xfId="4" applyNumberFormat="1" applyFont="1" applyFill="1" applyBorder="1" applyAlignment="1">
      <alignment horizontal="center" vertical="center"/>
    </xf>
    <xf numFmtId="168" fontId="2" fillId="5" borderId="1" xfId="5" applyNumberFormat="1" applyFont="1" applyFill="1" applyBorder="1" applyAlignment="1" applyProtection="1">
      <alignment vertical="center"/>
      <protection locked="0"/>
    </xf>
    <xf numFmtId="3" fontId="26" fillId="5" borderId="1" xfId="4" applyNumberFormat="1" applyFont="1" applyFill="1" applyBorder="1" applyAlignment="1">
      <alignment horizontal="center" vertical="center"/>
    </xf>
    <xf numFmtId="4" fontId="2" fillId="0" borderId="1" xfId="4" applyNumberFormat="1" applyFont="1" applyBorder="1" applyAlignment="1">
      <alignment horizontal="center" vertical="center"/>
    </xf>
    <xf numFmtId="168" fontId="2" fillId="0" borderId="1" xfId="5" applyNumberFormat="1" applyFont="1" applyBorder="1" applyAlignment="1" applyProtection="1">
      <alignment vertical="center"/>
      <protection locked="0"/>
    </xf>
    <xf numFmtId="168" fontId="2" fillId="0" borderId="1" xfId="5" applyNumberFormat="1" applyFont="1" applyBorder="1" applyAlignment="1" applyProtection="1">
      <alignment vertical="center" wrapText="1"/>
      <protection locked="0"/>
    </xf>
    <xf numFmtId="0" fontId="27" fillId="0" borderId="3" xfId="4" applyFont="1" applyBorder="1"/>
    <xf numFmtId="49" fontId="2" fillId="0" borderId="3" xfId="4" applyNumberFormat="1" applyFont="1" applyBorder="1"/>
    <xf numFmtId="0" fontId="24" fillId="0" borderId="3" xfId="4" applyFont="1" applyBorder="1"/>
    <xf numFmtId="0" fontId="24" fillId="0" borderId="1" xfId="4" applyFont="1" applyBorder="1" applyAlignment="1">
      <alignment horizontal="center"/>
    </xf>
    <xf numFmtId="4" fontId="24" fillId="0" borderId="1" xfId="4" applyNumberFormat="1" applyFont="1" applyBorder="1" applyAlignment="1">
      <alignment horizontal="center"/>
    </xf>
    <xf numFmtId="0" fontId="25" fillId="0" borderId="3" xfId="4" applyFont="1" applyBorder="1"/>
    <xf numFmtId="0" fontId="25" fillId="10" borderId="3" xfId="4" applyFont="1" applyFill="1" applyBorder="1" applyAlignment="1">
      <alignment horizontal="center" vertical="top" wrapText="1"/>
    </xf>
    <xf numFmtId="3" fontId="2" fillId="10" borderId="1" xfId="4" applyNumberFormat="1" applyFont="1" applyFill="1" applyBorder="1" applyAlignment="1">
      <alignment horizontal="right"/>
    </xf>
    <xf numFmtId="4" fontId="2" fillId="10" borderId="1" xfId="4" applyNumberFormat="1" applyFont="1" applyFill="1" applyBorder="1" applyAlignment="1">
      <alignment horizontal="center" vertical="center"/>
    </xf>
    <xf numFmtId="168" fontId="2" fillId="10" borderId="1" xfId="5" applyNumberFormat="1" applyFont="1" applyFill="1" applyBorder="1" applyAlignment="1" applyProtection="1">
      <alignment vertical="center"/>
      <protection locked="0"/>
    </xf>
    <xf numFmtId="16" fontId="24" fillId="0" borderId="3" xfId="4" applyNumberFormat="1" applyFont="1" applyBorder="1" applyAlignment="1">
      <alignment horizontal="center" vertical="center"/>
    </xf>
    <xf numFmtId="0" fontId="24" fillId="5" borderId="3" xfId="4" applyFont="1" applyFill="1" applyBorder="1" applyAlignment="1">
      <alignment horizontal="right" vertical="top" wrapText="1"/>
    </xf>
    <xf numFmtId="0" fontId="24" fillId="0" borderId="3" xfId="4" applyFont="1" applyBorder="1" applyAlignment="1">
      <alignment horizontal="center" vertical="top" wrapText="1"/>
    </xf>
    <xf numFmtId="0" fontId="2" fillId="0" borderId="3" xfId="4" applyFont="1" applyBorder="1" applyAlignment="1">
      <alignment horizontal="left"/>
    </xf>
    <xf numFmtId="0" fontId="2" fillId="13" borderId="0" xfId="4" applyFont="1" applyFill="1"/>
    <xf numFmtId="0" fontId="2" fillId="0" borderId="2" xfId="4" applyFont="1" applyBorder="1"/>
    <xf numFmtId="0" fontId="24" fillId="0" borderId="3" xfId="4" applyFont="1" applyBorder="1" applyAlignment="1">
      <alignment horizontal="left"/>
    </xf>
    <xf numFmtId="49" fontId="24" fillId="0" borderId="3" xfId="4" applyNumberFormat="1" applyFont="1" applyBorder="1" applyAlignment="1">
      <alignment horizontal="center" vertical="top"/>
    </xf>
    <xf numFmtId="49" fontId="2" fillId="0" borderId="2" xfId="4" applyNumberFormat="1" applyFont="1" applyBorder="1" applyAlignment="1">
      <alignment horizontal="center" vertical="top"/>
    </xf>
    <xf numFmtId="0" fontId="24" fillId="5" borderId="1" xfId="4" applyFont="1" applyFill="1" applyBorder="1" applyAlignment="1">
      <alignment vertical="top" wrapText="1"/>
    </xf>
    <xf numFmtId="0" fontId="2" fillId="0" borderId="1" xfId="4" applyFont="1" applyBorder="1" applyAlignment="1">
      <alignment horizontal="center" vertical="center"/>
    </xf>
    <xf numFmtId="0" fontId="2" fillId="0" borderId="8" xfId="4" applyFont="1" applyBorder="1" applyAlignment="1">
      <alignment horizontal="left"/>
    </xf>
    <xf numFmtId="49" fontId="2" fillId="6" borderId="2" xfId="4" applyNumberFormat="1" applyFont="1" applyFill="1" applyBorder="1" applyAlignment="1">
      <alignment horizontal="center" vertical="top"/>
    </xf>
    <xf numFmtId="0" fontId="24" fillId="6" borderId="1" xfId="4" applyFont="1" applyFill="1" applyBorder="1" applyAlignment="1">
      <alignment horizontal="right" vertical="top" wrapText="1"/>
    </xf>
    <xf numFmtId="0" fontId="24" fillId="6" borderId="1" xfId="4" applyFont="1" applyFill="1" applyBorder="1" applyAlignment="1">
      <alignment vertical="top" wrapText="1"/>
    </xf>
    <xf numFmtId="4" fontId="2" fillId="6" borderId="1" xfId="4" applyNumberFormat="1" applyFont="1" applyFill="1" applyBorder="1" applyAlignment="1">
      <alignment horizontal="center" vertical="center"/>
    </xf>
    <xf numFmtId="168" fontId="2" fillId="6" borderId="1" xfId="5" applyNumberFormat="1" applyFont="1" applyFill="1" applyBorder="1" applyAlignment="1" applyProtection="1">
      <alignment vertical="center"/>
      <protection locked="0"/>
    </xf>
    <xf numFmtId="3" fontId="26" fillId="6" borderId="1" xfId="4" applyNumberFormat="1" applyFont="1" applyFill="1" applyBorder="1" applyAlignment="1">
      <alignment horizontal="center" vertical="center"/>
    </xf>
    <xf numFmtId="0" fontId="2" fillId="6" borderId="0" xfId="4" applyFont="1" applyFill="1"/>
    <xf numFmtId="168" fontId="5" fillId="0" borderId="23" xfId="5" applyNumberFormat="1" applyFont="1" applyFill="1" applyBorder="1" applyAlignment="1">
      <alignment vertical="center" wrapText="1"/>
    </xf>
    <xf numFmtId="49" fontId="2" fillId="0" borderId="2" xfId="4" applyNumberFormat="1" applyFont="1" applyBorder="1" applyAlignment="1">
      <alignment horizontal="center" vertical="center"/>
    </xf>
    <xf numFmtId="0" fontId="24" fillId="5" borderId="3" xfId="4" applyFont="1" applyFill="1" applyBorder="1" applyAlignment="1">
      <alignment horizontal="right" vertical="center" wrapText="1"/>
    </xf>
    <xf numFmtId="0" fontId="24" fillId="5" borderId="1" xfId="4" applyFont="1" applyFill="1" applyBorder="1" applyAlignment="1">
      <alignment vertical="center" wrapText="1"/>
    </xf>
    <xf numFmtId="0" fontId="2" fillId="0" borderId="0" xfId="4" applyFont="1" applyAlignment="1">
      <alignment vertical="center"/>
    </xf>
    <xf numFmtId="49" fontId="2" fillId="0" borderId="2" xfId="4" applyNumberFormat="1" applyFont="1" applyBorder="1" applyAlignment="1">
      <alignment vertical="top"/>
    </xf>
    <xf numFmtId="49" fontId="2" fillId="0" borderId="1" xfId="4" applyNumberFormat="1" applyFont="1" applyBorder="1" applyAlignment="1">
      <alignment vertical="top"/>
    </xf>
    <xf numFmtId="4" fontId="2" fillId="0" borderId="1" xfId="4" applyNumberFormat="1" applyFont="1" applyBorder="1" applyAlignment="1">
      <alignment horizontal="center" vertical="top"/>
    </xf>
    <xf numFmtId="168" fontId="2" fillId="0" borderId="1" xfId="5" applyNumberFormat="1" applyFont="1" applyBorder="1" applyAlignment="1" applyProtection="1">
      <alignment vertical="top"/>
      <protection locked="0"/>
    </xf>
    <xf numFmtId="4" fontId="25" fillId="9" borderId="1" xfId="4" applyNumberFormat="1" applyFont="1" applyFill="1" applyBorder="1" applyAlignment="1">
      <alignment horizontal="center" vertical="center" wrapText="1"/>
    </xf>
    <xf numFmtId="168" fontId="25" fillId="9" borderId="1" xfId="5" applyNumberFormat="1" applyFont="1" applyFill="1" applyBorder="1" applyAlignment="1" applyProtection="1">
      <alignment vertical="center" wrapText="1"/>
      <protection locked="0"/>
    </xf>
    <xf numFmtId="3" fontId="26" fillId="9" borderId="1" xfId="4" applyNumberFormat="1" applyFont="1" applyFill="1" applyBorder="1" applyAlignment="1">
      <alignment horizontal="center"/>
    </xf>
    <xf numFmtId="168" fontId="3" fillId="0" borderId="0" xfId="5" applyNumberFormat="1" applyFont="1" applyAlignment="1" applyProtection="1">
      <protection locked="0"/>
    </xf>
    <xf numFmtId="0" fontId="5" fillId="9" borderId="13" xfId="4" applyFont="1" applyFill="1" applyBorder="1"/>
    <xf numFmtId="0" fontId="6" fillId="9" borderId="14" xfId="4" applyFont="1" applyFill="1" applyBorder="1" applyAlignment="1">
      <alignment horizontal="center"/>
    </xf>
    <xf numFmtId="0" fontId="5" fillId="9" borderId="14" xfId="4" applyFont="1" applyFill="1" applyBorder="1" applyAlignment="1">
      <alignment horizontal="center"/>
    </xf>
    <xf numFmtId="168" fontId="6" fillId="9" borderId="14" xfId="5" applyNumberFormat="1" applyFont="1" applyFill="1" applyBorder="1" applyAlignment="1" applyProtection="1">
      <protection locked="0"/>
    </xf>
    <xf numFmtId="169" fontId="6" fillId="9" borderId="10" xfId="8" applyNumberFormat="1" applyFont="1" applyFill="1" applyBorder="1" applyAlignment="1" applyProtection="1">
      <alignment horizontal="center" vertical="center"/>
    </xf>
    <xf numFmtId="0" fontId="1" fillId="0" borderId="0" xfId="4" applyFont="1"/>
    <xf numFmtId="49" fontId="2" fillId="0" borderId="0" xfId="4" applyNumberFormat="1" applyFont="1" applyAlignment="1">
      <alignment horizontal="left" vertical="top"/>
    </xf>
    <xf numFmtId="4" fontId="2" fillId="0" borderId="0" xfId="4" applyNumberFormat="1" applyFont="1" applyAlignment="1">
      <alignment horizontal="center"/>
    </xf>
    <xf numFmtId="168" fontId="2" fillId="0" borderId="0" xfId="5" applyNumberFormat="1" applyFont="1" applyAlignment="1" applyProtection="1">
      <protection locked="0"/>
    </xf>
    <xf numFmtId="0" fontId="2" fillId="0" borderId="0" xfId="4" applyFont="1" applyAlignment="1">
      <alignment horizontal="center"/>
    </xf>
    <xf numFmtId="4" fontId="6" fillId="9" borderId="14" xfId="4" applyNumberFormat="1" applyFont="1" applyFill="1" applyBorder="1" applyAlignment="1">
      <alignment horizontal="center"/>
    </xf>
    <xf numFmtId="168" fontId="2" fillId="0" borderId="0" xfId="5" applyNumberFormat="1" applyFont="1" applyAlignment="1"/>
    <xf numFmtId="10" fontId="30" fillId="9" borderId="14" xfId="3" applyNumberFormat="1" applyFont="1" applyFill="1" applyBorder="1" applyAlignment="1">
      <alignment horizontal="center"/>
    </xf>
    <xf numFmtId="0" fontId="19" fillId="5" borderId="7" xfId="0" applyFont="1" applyFill="1" applyBorder="1" applyAlignment="1">
      <alignment vertical="center" wrapText="1"/>
    </xf>
    <xf numFmtId="10" fontId="31" fillId="5" borderId="4" xfId="0" applyNumberFormat="1" applyFont="1" applyFill="1" applyBorder="1" applyAlignment="1">
      <alignment vertical="center" wrapText="1"/>
    </xf>
    <xf numFmtId="0" fontId="6" fillId="9" borderId="13" xfId="4" applyFont="1" applyFill="1" applyBorder="1" applyAlignment="1">
      <alignment horizontal="center"/>
    </xf>
    <xf numFmtId="0" fontId="7" fillId="0" borderId="0" xfId="0" applyFont="1"/>
    <xf numFmtId="166" fontId="6" fillId="9" borderId="10" xfId="8" applyNumberFormat="1" applyFont="1" applyFill="1" applyBorder="1" applyAlignment="1" applyProtection="1">
      <alignment horizontal="center" vertical="center"/>
    </xf>
    <xf numFmtId="0" fontId="2" fillId="0" borderId="2" xfId="4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7" fillId="0" borderId="3" xfId="0" applyNumberFormat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 locked="0"/>
    </xf>
    <xf numFmtId="3" fontId="5" fillId="4" borderId="18" xfId="0" applyNumberFormat="1" applyFont="1" applyFill="1" applyBorder="1" applyAlignment="1" applyProtection="1">
      <alignment horizontal="center"/>
      <protection locked="0"/>
    </xf>
    <xf numFmtId="3" fontId="5" fillId="6" borderId="18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4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7" borderId="10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5" fillId="11" borderId="18" xfId="0" applyNumberFormat="1" applyFont="1" applyFill="1" applyBorder="1" applyAlignment="1" applyProtection="1">
      <alignment horizontal="center"/>
      <protection locked="0"/>
    </xf>
    <xf numFmtId="164" fontId="5" fillId="6" borderId="18" xfId="0" applyNumberFormat="1" applyFont="1" applyFill="1" applyBorder="1" applyAlignment="1" applyProtection="1">
      <alignment horizontal="center"/>
      <protection locked="0"/>
    </xf>
    <xf numFmtId="3" fontId="5" fillId="7" borderId="10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6" fillId="10" borderId="10" xfId="0" applyNumberFormat="1" applyFont="1" applyFill="1" applyBorder="1" applyAlignment="1" applyProtection="1">
      <alignment horizontal="center"/>
      <protection locked="0"/>
    </xf>
    <xf numFmtId="3" fontId="6" fillId="11" borderId="18" xfId="0" applyNumberFormat="1" applyFont="1" applyFill="1" applyBorder="1" applyAlignment="1" applyProtection="1">
      <alignment horizontal="center"/>
      <protection locked="0"/>
    </xf>
    <xf numFmtId="3" fontId="5" fillId="10" borderId="10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168" fontId="5" fillId="0" borderId="28" xfId="5" applyNumberFormat="1" applyFont="1" applyFill="1" applyBorder="1" applyAlignment="1" applyProtection="1">
      <alignment vertical="center" wrapText="1"/>
      <protection locked="0"/>
    </xf>
    <xf numFmtId="168" fontId="5" fillId="0" borderId="27" xfId="5" applyNumberFormat="1" applyFont="1" applyFill="1" applyBorder="1" applyAlignment="1" applyProtection="1">
      <alignment vertical="center" wrapText="1"/>
      <protection locked="0"/>
    </xf>
    <xf numFmtId="3" fontId="17" fillId="0" borderId="1" xfId="0" applyNumberFormat="1" applyFont="1" applyBorder="1" applyAlignment="1" applyProtection="1">
      <alignment horizontal="right"/>
      <protection locked="0"/>
    </xf>
    <xf numFmtId="3" fontId="17" fillId="4" borderId="1" xfId="0" applyNumberFormat="1" applyFont="1" applyFill="1" applyBorder="1" applyAlignment="1" applyProtection="1">
      <alignment horizontal="right"/>
      <protection locked="0"/>
    </xf>
    <xf numFmtId="3" fontId="17" fillId="6" borderId="1" xfId="0" applyNumberFormat="1" applyFont="1" applyFill="1" applyBorder="1" applyAlignment="1" applyProtection="1">
      <alignment vertical="center" wrapText="1"/>
      <protection locked="0"/>
    </xf>
    <xf numFmtId="3" fontId="17" fillId="5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Alignment="1" applyProtection="1">
      <alignment horizontal="right" vertical="center" wrapText="1"/>
      <protection locked="0"/>
    </xf>
    <xf numFmtId="3" fontId="17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17" fillId="3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Protection="1">
      <protection locked="0"/>
    </xf>
    <xf numFmtId="3" fontId="17" fillId="6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25" fillId="9" borderId="8" xfId="4" applyFont="1" applyFill="1" applyBorder="1" applyAlignment="1">
      <alignment horizontal="center" vertical="center" wrapText="1"/>
    </xf>
    <xf numFmtId="0" fontId="25" fillId="9" borderId="4" xfId="4" applyFont="1" applyFill="1" applyBorder="1" applyAlignment="1">
      <alignment horizontal="center" vertical="center" wrapText="1"/>
    </xf>
    <xf numFmtId="0" fontId="25" fillId="9" borderId="7" xfId="4" applyFont="1" applyFill="1" applyBorder="1" applyAlignment="1">
      <alignment horizontal="center" vertical="center" wrapText="1"/>
    </xf>
    <xf numFmtId="0" fontId="3" fillId="0" borderId="0" xfId="4" applyAlignment="1">
      <alignment horizontal="center"/>
    </xf>
    <xf numFmtId="49" fontId="16" fillId="0" borderId="2" xfId="0" applyNumberFormat="1" applyFont="1" applyBorder="1" applyAlignment="1">
      <alignment horizontal="right"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0" fontId="19" fillId="5" borderId="8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7" fillId="0" borderId="3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 vertical="top"/>
    </xf>
    <xf numFmtId="49" fontId="32" fillId="12" borderId="3" xfId="0" applyNumberFormat="1" applyFont="1" applyFill="1" applyBorder="1" applyAlignment="1">
      <alignment horizontal="center" vertical="center"/>
    </xf>
    <xf numFmtId="49" fontId="32" fillId="12" borderId="4" xfId="0" applyNumberFormat="1" applyFont="1" applyFill="1" applyBorder="1" applyAlignment="1">
      <alignment horizontal="center" vertical="center"/>
    </xf>
    <xf numFmtId="49" fontId="32" fillId="12" borderId="7" xfId="0" applyNumberFormat="1" applyFont="1" applyFill="1" applyBorder="1" applyAlignment="1">
      <alignment horizontal="center" vertical="center"/>
    </xf>
    <xf numFmtId="49" fontId="6" fillId="12" borderId="21" xfId="0" applyNumberFormat="1" applyFont="1" applyFill="1" applyBorder="1" applyAlignment="1">
      <alignment horizontal="center" vertical="center"/>
    </xf>
    <xf numFmtId="49" fontId="6" fillId="1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3" fontId="2" fillId="0" borderId="0" xfId="2" applyFont="1" applyFill="1" applyAlignment="1">
      <alignment horizontal="center"/>
    </xf>
    <xf numFmtId="43" fontId="2" fillId="0" borderId="0" xfId="2" applyFont="1" applyAlignment="1">
      <alignment horizontal="center"/>
    </xf>
    <xf numFmtId="43" fontId="1" fillId="0" borderId="0" xfId="2" applyFont="1" applyAlignment="1">
      <alignment horizontal="center"/>
    </xf>
    <xf numFmtId="43" fontId="4" fillId="0" borderId="15" xfId="2" applyFont="1" applyBorder="1" applyAlignment="1">
      <alignment horizontal="center"/>
    </xf>
    <xf numFmtId="43" fontId="6" fillId="0" borderId="10" xfId="2" applyFont="1" applyBorder="1" applyAlignment="1">
      <alignment horizontal="center" vertical="center"/>
    </xf>
    <xf numFmtId="43" fontId="6" fillId="0" borderId="12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5" fillId="4" borderId="18" xfId="2" applyFont="1" applyFill="1" applyBorder="1" applyAlignment="1">
      <alignment horizontal="center"/>
    </xf>
    <xf numFmtId="43" fontId="5" fillId="6" borderId="18" xfId="2" applyFont="1" applyFill="1" applyBorder="1" applyAlignment="1">
      <alignment horizontal="center"/>
    </xf>
    <xf numFmtId="43" fontId="5" fillId="0" borderId="18" xfId="2" applyFont="1" applyBorder="1" applyAlignment="1">
      <alignment horizontal="center"/>
    </xf>
    <xf numFmtId="43" fontId="6" fillId="7" borderId="10" xfId="2" applyFont="1" applyFill="1" applyBorder="1" applyAlignment="1">
      <alignment horizontal="center"/>
    </xf>
    <xf numFmtId="43" fontId="6" fillId="0" borderId="10" xfId="2" applyFont="1" applyBorder="1" applyAlignment="1">
      <alignment horizontal="center"/>
    </xf>
    <xf numFmtId="43" fontId="5" fillId="11" borderId="18" xfId="2" applyFont="1" applyFill="1" applyBorder="1" applyAlignment="1">
      <alignment horizontal="center"/>
    </xf>
    <xf numFmtId="0" fontId="6" fillId="6" borderId="0" xfId="0" applyFont="1" applyFill="1"/>
    <xf numFmtId="43" fontId="6" fillId="10" borderId="10" xfId="2" applyFont="1" applyFill="1" applyBorder="1" applyAlignment="1">
      <alignment horizontal="center"/>
    </xf>
    <xf numFmtId="43" fontId="6" fillId="6" borderId="10" xfId="2" applyFont="1" applyFill="1" applyBorder="1" applyAlignment="1">
      <alignment horizontal="center"/>
    </xf>
    <xf numFmtId="2" fontId="6" fillId="9" borderId="10" xfId="2" applyNumberFormat="1" applyFont="1" applyFill="1" applyBorder="1" applyAlignment="1">
      <alignment horizontal="center"/>
    </xf>
    <xf numFmtId="43" fontId="6" fillId="9" borderId="10" xfId="2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43" fontId="6" fillId="6" borderId="0" xfId="2" applyFont="1" applyFill="1" applyBorder="1" applyAlignment="1">
      <alignment horizontal="center"/>
    </xf>
    <xf numFmtId="0" fontId="19" fillId="5" borderId="4" xfId="0" applyFont="1" applyFill="1" applyBorder="1" applyAlignment="1">
      <alignment vertical="center" wrapText="1"/>
    </xf>
    <xf numFmtId="3" fontId="32" fillId="2" borderId="1" xfId="0" applyNumberFormat="1" applyFont="1" applyFill="1" applyBorder="1" applyAlignment="1">
      <alignment horizontal="center" vertical="center"/>
    </xf>
    <xf numFmtId="168" fontId="3" fillId="0" borderId="0" xfId="5" applyNumberFormat="1" applyFont="1" applyBorder="1" applyAlignment="1"/>
    <xf numFmtId="49" fontId="22" fillId="8" borderId="13" xfId="4" applyNumberFormat="1" applyFont="1" applyFill="1" applyBorder="1" applyAlignment="1">
      <alignment horizontal="center" vertical="center" wrapText="1"/>
    </xf>
    <xf numFmtId="49" fontId="22" fillId="8" borderId="14" xfId="4" applyNumberFormat="1" applyFont="1" applyFill="1" applyBorder="1" applyAlignment="1">
      <alignment horizontal="center" vertical="center" wrapText="1"/>
    </xf>
    <xf numFmtId="49" fontId="22" fillId="8" borderId="11" xfId="4" applyNumberFormat="1" applyFont="1" applyFill="1" applyBorder="1" applyAlignment="1">
      <alignment horizontal="center" vertical="center" wrapText="1"/>
    </xf>
    <xf numFmtId="49" fontId="22" fillId="2" borderId="29" xfId="4" applyNumberFormat="1" applyFont="1" applyFill="1" applyBorder="1" applyAlignment="1">
      <alignment horizontal="center" vertical="center" wrapText="1"/>
    </xf>
    <xf numFmtId="0" fontId="5" fillId="0" borderId="0" xfId="9" applyFont="1" applyAlignment="1">
      <alignment vertical="center" wrapText="1"/>
    </xf>
    <xf numFmtId="0" fontId="5" fillId="0" borderId="1" xfId="9" applyFont="1" applyBorder="1" applyAlignment="1">
      <alignment vertical="center" wrapText="1"/>
    </xf>
    <xf numFmtId="0" fontId="5" fillId="0" borderId="16" xfId="9" applyFont="1" applyBorder="1" applyAlignment="1">
      <alignment horizontal="left" vertical="center" wrapText="1"/>
    </xf>
    <xf numFmtId="0" fontId="6" fillId="0" borderId="28" xfId="9" applyFont="1" applyBorder="1" applyAlignment="1">
      <alignment vertical="center" wrapText="1"/>
    </xf>
    <xf numFmtId="0" fontId="5" fillId="0" borderId="0" xfId="9" applyFont="1" applyAlignment="1">
      <alignment horizontal="center" vertical="center" wrapText="1"/>
    </xf>
    <xf numFmtId="4" fontId="5" fillId="0" borderId="28" xfId="9" applyNumberFormat="1" applyFont="1" applyBorder="1" applyAlignment="1">
      <alignment horizontal="center" vertical="center" wrapText="1"/>
    </xf>
    <xf numFmtId="0" fontId="1" fillId="0" borderId="0" xfId="9" applyAlignment="1">
      <alignment vertical="center" wrapText="1"/>
    </xf>
    <xf numFmtId="0" fontId="5" fillId="0" borderId="16" xfId="9" applyFont="1" applyBorder="1" applyAlignment="1">
      <alignment vertical="center" wrapText="1"/>
    </xf>
    <xf numFmtId="0" fontId="5" fillId="0" borderId="27" xfId="9" applyFont="1" applyBorder="1" applyAlignment="1">
      <alignment vertical="center" wrapText="1"/>
    </xf>
    <xf numFmtId="4" fontId="5" fillId="0" borderId="27" xfId="9" applyNumberFormat="1" applyFont="1" applyBorder="1" applyAlignment="1">
      <alignment horizontal="center" vertical="center" wrapText="1"/>
    </xf>
    <xf numFmtId="0" fontId="5" fillId="9" borderId="0" xfId="4" applyFont="1" applyFill="1"/>
    <xf numFmtId="166" fontId="33" fillId="9" borderId="10" xfId="8" applyNumberFormat="1" applyFont="1" applyFill="1" applyBorder="1" applyAlignment="1" applyProtection="1">
      <alignment horizontal="center"/>
    </xf>
    <xf numFmtId="49" fontId="6" fillId="0" borderId="30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3" fontId="6" fillId="5" borderId="10" xfId="0" applyNumberFormat="1" applyFont="1" applyFill="1" applyBorder="1" applyAlignment="1">
      <alignment horizontal="center" vertical="center"/>
    </xf>
  </cellXfs>
  <cellStyles count="10">
    <cellStyle name="Milliers" xfId="2" builtinId="3"/>
    <cellStyle name="Milliers 2" xfId="5" xr:uid="{648974AF-A814-4527-91AA-7D813ABDF06E}"/>
    <cellStyle name="Milliers 3" xfId="8" xr:uid="{ED699584-654A-48B4-AE6C-A009A9783F1D}"/>
    <cellStyle name="Normal" xfId="0" builtinId="0"/>
    <cellStyle name="Normal 2" xfId="1" xr:uid="{00000000-0005-0000-0000-000001000000}"/>
    <cellStyle name="Normal 3" xfId="4" xr:uid="{CBD1F6BD-AC68-49B0-90C7-33BA901D2C8D}"/>
    <cellStyle name="Normal 4" xfId="6" xr:uid="{348FDBAB-B8DD-4F53-BCA2-97BE812E9A3C}"/>
    <cellStyle name="Normal 4 2" xfId="9" xr:uid="{00EE0F1D-3FC4-4C9F-A173-EEA060EB8AAD}"/>
    <cellStyle name="Pourcentage" xfId="3" builtinId="5"/>
    <cellStyle name="Pourcentage 2" xfId="7" xr:uid="{2858F958-7E18-4ADA-8926-E7B03302AAAA}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2529840</xdr:colOff>
      <xdr:row>0</xdr:row>
      <xdr:rowOff>167640</xdr:rowOff>
    </xdr:from>
    <xdr:to>
      <xdr:col>2</xdr:col>
      <xdr:colOff>244475</xdr:colOff>
      <xdr:row>2</xdr:row>
      <xdr:rowOff>243840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5C9EBD36-95B3-4242-891B-FA4202802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5640" y="167640"/>
          <a:ext cx="1913255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1836420</xdr:colOff>
      <xdr:row>0</xdr:row>
      <xdr:rowOff>198120</xdr:rowOff>
    </xdr:from>
    <xdr:to>
      <xdr:col>2</xdr:col>
      <xdr:colOff>92075</xdr:colOff>
      <xdr:row>0</xdr:row>
      <xdr:rowOff>998220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4B28A199-6975-4762-93E8-515B22F6B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198120"/>
          <a:ext cx="1913255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2624666</xdr:colOff>
      <xdr:row>0</xdr:row>
      <xdr:rowOff>296332</xdr:rowOff>
    </xdr:from>
    <xdr:to>
      <xdr:col>2</xdr:col>
      <xdr:colOff>338455</xdr:colOff>
      <xdr:row>0</xdr:row>
      <xdr:rowOff>1096432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E53F399B-F14A-4084-AE1B-D038C5D51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7146" y="296332"/>
          <a:ext cx="1912409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2091267</xdr:colOff>
      <xdr:row>0</xdr:row>
      <xdr:rowOff>245533</xdr:rowOff>
    </xdr:from>
    <xdr:to>
      <xdr:col>0</xdr:col>
      <xdr:colOff>4004522</xdr:colOff>
      <xdr:row>0</xdr:row>
      <xdr:rowOff>1045633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BF773569-4443-4F9B-8B63-96176E960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1267" y="245533"/>
          <a:ext cx="191325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B6CC1-7EDF-48E9-8B1C-F300223D6FC0}">
  <dimension ref="A1:G115"/>
  <sheetViews>
    <sheetView showGridLines="0" tabSelected="1" view="pageBreakPreview" topLeftCell="A38" zoomScaleSheetLayoutView="100" workbookViewId="0">
      <selection activeCell="K53" sqref="K53"/>
    </sheetView>
  </sheetViews>
  <sheetFormatPr baseColWidth="10" defaultColWidth="11.44140625" defaultRowHeight="15"/>
  <cols>
    <col min="1" max="1" width="10" style="364" customWidth="1"/>
    <col min="2" max="2" width="61.21875" style="364" bestFit="1" customWidth="1"/>
    <col min="3" max="3" width="9.33203125" style="2" customWidth="1"/>
    <col min="4" max="4" width="10.5546875" style="3" customWidth="1"/>
    <col min="5" max="5" width="11.6640625" style="3" customWidth="1"/>
    <col min="6" max="6" width="18.77734375" style="365" customWidth="1"/>
    <col min="7" max="16384" width="11.44140625" style="2"/>
  </cols>
  <sheetData>
    <row r="1" spans="1:7" ht="29.4" customHeight="1"/>
    <row r="2" spans="1:7" ht="27.6" customHeight="1"/>
    <row r="3" spans="1:7" ht="22.8" customHeight="1">
      <c r="A3" s="1"/>
      <c r="B3" s="1"/>
      <c r="F3" s="366"/>
    </row>
    <row r="4" spans="1:7" s="4" customFormat="1" ht="13.8" thickBot="1">
      <c r="B4" s="342"/>
      <c r="C4" s="342"/>
      <c r="D4" s="5"/>
      <c r="E4" s="306"/>
      <c r="F4" s="367"/>
    </row>
    <row r="5" spans="1:7" s="4" customFormat="1" ht="22.95" customHeight="1" thickBot="1">
      <c r="A5" s="343" t="s">
        <v>396</v>
      </c>
      <c r="B5" s="344"/>
      <c r="C5" s="344"/>
      <c r="D5" s="344"/>
      <c r="E5" s="344"/>
      <c r="F5" s="345"/>
    </row>
    <row r="6" spans="1:7" s="4" customFormat="1" ht="13.2" customHeight="1" thickBot="1">
      <c r="B6" s="7"/>
      <c r="C6" s="7"/>
      <c r="D6" s="8"/>
      <c r="E6" s="9"/>
      <c r="F6" s="368"/>
    </row>
    <row r="7" spans="1:7" s="15" customFormat="1" ht="33" customHeight="1" thickBot="1">
      <c r="A7" s="107" t="s">
        <v>184</v>
      </c>
      <c r="B7" s="10" t="s">
        <v>70</v>
      </c>
      <c r="C7" s="11" t="s">
        <v>75</v>
      </c>
      <c r="D7" s="12" t="s">
        <v>76</v>
      </c>
      <c r="E7" s="13" t="s">
        <v>77</v>
      </c>
      <c r="F7" s="369" t="s">
        <v>78</v>
      </c>
      <c r="G7" s="14"/>
    </row>
    <row r="8" spans="1:7" s="15" customFormat="1" ht="14.4" customHeight="1">
      <c r="A8" s="71"/>
      <c r="B8" s="70"/>
      <c r="C8" s="6"/>
      <c r="D8" s="69"/>
      <c r="E8" s="309"/>
      <c r="F8" s="370"/>
      <c r="G8" s="371"/>
    </row>
    <row r="9" spans="1:7" s="4" customFormat="1" ht="15.6">
      <c r="A9" s="72" t="s">
        <v>151</v>
      </c>
      <c r="B9" s="73" t="s">
        <v>150</v>
      </c>
      <c r="C9" s="74"/>
      <c r="D9" s="75"/>
      <c r="E9" s="310"/>
      <c r="F9" s="372"/>
    </row>
    <row r="10" spans="1:7" s="4" customFormat="1" ht="13.8" customHeight="1">
      <c r="A10" s="103"/>
      <c r="B10" s="104"/>
      <c r="C10" s="37"/>
      <c r="D10" s="38"/>
      <c r="E10" s="311"/>
      <c r="F10" s="373"/>
    </row>
    <row r="11" spans="1:7" s="4" customFormat="1" ht="16.2" customHeight="1">
      <c r="A11" s="105" t="s">
        <v>68</v>
      </c>
      <c r="B11" s="106" t="s">
        <v>356</v>
      </c>
      <c r="C11" s="37" t="s">
        <v>183</v>
      </c>
      <c r="D11" s="38">
        <v>1</v>
      </c>
      <c r="E11" s="311"/>
      <c r="F11" s="374">
        <f t="shared" ref="F11:F12" si="0">D11*E11</f>
        <v>0</v>
      </c>
    </row>
    <row r="12" spans="1:7" s="4" customFormat="1" ht="15.6" customHeight="1">
      <c r="A12" s="20" t="s">
        <v>5</v>
      </c>
      <c r="B12" s="21" t="s">
        <v>182</v>
      </c>
      <c r="C12" s="17" t="s">
        <v>183</v>
      </c>
      <c r="D12" s="22">
        <v>1</v>
      </c>
      <c r="E12" s="312"/>
      <c r="F12" s="374">
        <f t="shared" si="0"/>
        <v>0</v>
      </c>
    </row>
    <row r="13" spans="1:7" s="4" customFormat="1" ht="17.399999999999999" customHeight="1" thickBot="1">
      <c r="A13" s="20" t="s">
        <v>69</v>
      </c>
      <c r="B13" s="21" t="s">
        <v>181</v>
      </c>
      <c r="C13" s="17" t="s">
        <v>183</v>
      </c>
      <c r="D13" s="22">
        <v>1</v>
      </c>
      <c r="E13" s="311"/>
      <c r="F13" s="374">
        <f>D13*E13</f>
        <v>0</v>
      </c>
    </row>
    <row r="14" spans="1:7" s="4" customFormat="1" ht="16.2" thickBot="1">
      <c r="A14" s="57"/>
      <c r="B14" s="58" t="s">
        <v>160</v>
      </c>
      <c r="C14" s="59"/>
      <c r="D14" s="60"/>
      <c r="E14" s="313"/>
      <c r="F14" s="375">
        <f>SUM(F11:F13)</f>
        <v>0</v>
      </c>
    </row>
    <row r="15" spans="1:7" s="4" customFormat="1" ht="15.6">
      <c r="B15" s="76"/>
      <c r="C15" s="27"/>
      <c r="D15" s="28"/>
      <c r="E15" s="314"/>
      <c r="F15" s="374"/>
    </row>
    <row r="16" spans="1:7" s="4" customFormat="1" ht="15.6">
      <c r="A16" s="72" t="s">
        <v>14</v>
      </c>
      <c r="B16" s="77" t="s">
        <v>152</v>
      </c>
      <c r="C16" s="78"/>
      <c r="D16" s="79"/>
      <c r="E16" s="315"/>
      <c r="F16" s="372"/>
    </row>
    <row r="17" spans="1:6" s="4" customFormat="1" ht="15.6">
      <c r="A17" s="19"/>
      <c r="B17" s="26"/>
      <c r="C17" s="27"/>
      <c r="D17" s="28"/>
      <c r="E17" s="316"/>
      <c r="F17" s="374"/>
    </row>
    <row r="18" spans="1:6" s="4" customFormat="1">
      <c r="A18" s="20" t="s">
        <v>79</v>
      </c>
      <c r="B18" s="21" t="s">
        <v>80</v>
      </c>
      <c r="C18" s="17"/>
      <c r="D18" s="22"/>
      <c r="E18" s="312"/>
      <c r="F18" s="374"/>
    </row>
    <row r="19" spans="1:6" s="4" customFormat="1">
      <c r="A19" s="20" t="s">
        <v>79</v>
      </c>
      <c r="B19" s="21" t="s">
        <v>386</v>
      </c>
      <c r="C19" s="17" t="s">
        <v>7</v>
      </c>
      <c r="D19" s="55">
        <v>134.51</v>
      </c>
      <c r="E19" s="312"/>
      <c r="F19" s="374"/>
    </row>
    <row r="20" spans="1:6" s="4" customFormat="1">
      <c r="A20" s="20" t="s">
        <v>81</v>
      </c>
      <c r="B20" s="21" t="s">
        <v>358</v>
      </c>
      <c r="C20" s="17" t="s">
        <v>10</v>
      </c>
      <c r="D20" s="55">
        <f>D19*0.85*0.6</f>
        <v>68.600099999999983</v>
      </c>
      <c r="E20" s="312"/>
      <c r="F20" s="374">
        <f>D20*E20</f>
        <v>0</v>
      </c>
    </row>
    <row r="21" spans="1:6" s="4" customFormat="1" ht="17.399999999999999" customHeight="1">
      <c r="A21" s="20" t="s">
        <v>82</v>
      </c>
      <c r="B21" s="21" t="s">
        <v>83</v>
      </c>
      <c r="C21" s="17" t="s">
        <v>10</v>
      </c>
      <c r="D21" s="55">
        <f>D19*0.65*0.45</f>
        <v>39.344175</v>
      </c>
      <c r="E21" s="312"/>
      <c r="F21" s="374">
        <f t="shared" ref="F21:F22" si="1">D21*E21</f>
        <v>0</v>
      </c>
    </row>
    <row r="22" spans="1:6" s="4" customFormat="1" ht="17.399999999999999" customHeight="1" thickBot="1">
      <c r="A22" s="20" t="s">
        <v>84</v>
      </c>
      <c r="B22" s="21" t="s">
        <v>85</v>
      </c>
      <c r="C22" s="17" t="s">
        <v>10</v>
      </c>
      <c r="D22" s="55">
        <f>30.27*9.88*0.5</f>
        <v>149.53380000000001</v>
      </c>
      <c r="E22" s="312"/>
      <c r="F22" s="374">
        <f t="shared" si="1"/>
        <v>0</v>
      </c>
    </row>
    <row r="23" spans="1:6" s="4" customFormat="1" ht="17.399999999999999" customHeight="1" thickBot="1">
      <c r="A23" s="57"/>
      <c r="B23" s="58" t="s">
        <v>161</v>
      </c>
      <c r="C23" s="59"/>
      <c r="D23" s="60"/>
      <c r="E23" s="317"/>
      <c r="F23" s="375">
        <f>SUM(F20:F22)</f>
        <v>0</v>
      </c>
    </row>
    <row r="24" spans="1:6" s="4" customFormat="1" ht="17.399999999999999" customHeight="1">
      <c r="A24" s="29" t="s">
        <v>16</v>
      </c>
      <c r="B24" s="89" t="s">
        <v>180</v>
      </c>
      <c r="C24" s="30"/>
      <c r="D24" s="18"/>
      <c r="E24" s="318"/>
      <c r="F24" s="374"/>
    </row>
    <row r="25" spans="1:6" s="4" customFormat="1" ht="17.399999999999999" customHeight="1">
      <c r="A25" s="33" t="s">
        <v>17</v>
      </c>
      <c r="B25" s="32" t="s">
        <v>179</v>
      </c>
      <c r="C25" s="17"/>
      <c r="D25" s="22"/>
      <c r="E25" s="312"/>
      <c r="F25" s="374"/>
    </row>
    <row r="26" spans="1:6" s="4" customFormat="1" ht="17.399999999999999" customHeight="1">
      <c r="A26" s="33" t="s">
        <v>86</v>
      </c>
      <c r="B26" s="34" t="s">
        <v>87</v>
      </c>
      <c r="C26" s="17" t="s">
        <v>10</v>
      </c>
      <c r="D26" s="22">
        <f>D19*0.6*0.05</f>
        <v>4.0352999999999994</v>
      </c>
      <c r="E26" s="312"/>
      <c r="F26" s="374">
        <f>D26*E26</f>
        <v>0</v>
      </c>
    </row>
    <row r="27" spans="1:6" s="4" customFormat="1" ht="17.399999999999999" customHeight="1">
      <c r="A27" s="33"/>
      <c r="B27" s="34" t="s">
        <v>186</v>
      </c>
      <c r="C27" s="17" t="s">
        <v>10</v>
      </c>
      <c r="D27" s="22">
        <f>D19*0.6*0.15</f>
        <v>12.105899999999998</v>
      </c>
      <c r="E27" s="312"/>
      <c r="F27" s="374">
        <f t="shared" ref="F27:F57" si="2">D27*E27</f>
        <v>0</v>
      </c>
    </row>
    <row r="28" spans="1:6" s="4" customFormat="1" ht="17.399999999999999" customHeight="1">
      <c r="A28" s="33" t="s">
        <v>89</v>
      </c>
      <c r="B28" s="34" t="s">
        <v>90</v>
      </c>
      <c r="C28" s="17" t="s">
        <v>10</v>
      </c>
      <c r="D28" s="22">
        <f>29*0.15*0.15*0.66+9*0.15*0.2*0.66</f>
        <v>0.60885</v>
      </c>
      <c r="E28" s="312"/>
      <c r="F28" s="374">
        <f t="shared" si="2"/>
        <v>0</v>
      </c>
    </row>
    <row r="29" spans="1:6" s="4" customFormat="1" ht="17.399999999999999" customHeight="1">
      <c r="A29" s="33"/>
      <c r="B29" s="34" t="s">
        <v>92</v>
      </c>
      <c r="C29" s="17" t="s">
        <v>10</v>
      </c>
      <c r="D29" s="22">
        <f>134.51*0.2*0.15</f>
        <v>4.0353000000000003</v>
      </c>
      <c r="E29" s="312"/>
      <c r="F29" s="374">
        <f t="shared" si="2"/>
        <v>0</v>
      </c>
    </row>
    <row r="30" spans="1:6" s="4" customFormat="1">
      <c r="A30" s="33" t="s">
        <v>93</v>
      </c>
      <c r="B30" s="34" t="s">
        <v>188</v>
      </c>
      <c r="C30" s="17" t="s">
        <v>4</v>
      </c>
      <c r="D30" s="22">
        <f>134.51*1.05</f>
        <v>141.2355</v>
      </c>
      <c r="E30" s="312"/>
      <c r="F30" s="374">
        <f t="shared" si="2"/>
        <v>0</v>
      </c>
    </row>
    <row r="31" spans="1:6" s="4" customFormat="1">
      <c r="A31" s="33"/>
      <c r="B31" s="34" t="s">
        <v>376</v>
      </c>
      <c r="C31" s="37" t="s">
        <v>10</v>
      </c>
      <c r="D31" s="38">
        <f>30.27*9.88*0.1</f>
        <v>29.906760000000006</v>
      </c>
      <c r="E31" s="311"/>
      <c r="F31" s="374">
        <f t="shared" si="2"/>
        <v>0</v>
      </c>
    </row>
    <row r="32" spans="1:6" s="4" customFormat="1">
      <c r="A32" s="33"/>
      <c r="B32" s="34" t="s">
        <v>95</v>
      </c>
      <c r="C32" s="17" t="s">
        <v>4</v>
      </c>
      <c r="D32" s="22">
        <f>30.27*9.88</f>
        <v>299.06760000000003</v>
      </c>
      <c r="E32" s="312"/>
      <c r="F32" s="374">
        <f t="shared" si="2"/>
        <v>0</v>
      </c>
    </row>
    <row r="33" spans="1:6" s="4" customFormat="1">
      <c r="A33" s="33" t="s">
        <v>96</v>
      </c>
      <c r="B33" s="34" t="s">
        <v>97</v>
      </c>
      <c r="C33" s="17"/>
      <c r="D33" s="22"/>
      <c r="E33" s="312"/>
      <c r="F33" s="374"/>
    </row>
    <row r="34" spans="1:6" s="4" customFormat="1" ht="45">
      <c r="A34" s="33"/>
      <c r="B34" s="39" t="s">
        <v>98</v>
      </c>
      <c r="C34" s="17" t="s">
        <v>4</v>
      </c>
      <c r="D34" s="22">
        <f>30.27*0.44*4*2</f>
        <v>106.5504</v>
      </c>
      <c r="E34" s="312"/>
      <c r="F34" s="374">
        <f t="shared" si="2"/>
        <v>0</v>
      </c>
    </row>
    <row r="35" spans="1:6" s="4" customFormat="1">
      <c r="A35" s="33"/>
      <c r="B35" s="36" t="s">
        <v>99</v>
      </c>
      <c r="C35" s="17" t="s">
        <v>10</v>
      </c>
      <c r="D35" s="22">
        <f>30.27*0.4*0.4*2</f>
        <v>9.6864000000000008</v>
      </c>
      <c r="E35" s="312"/>
      <c r="F35" s="374">
        <f t="shared" si="2"/>
        <v>0</v>
      </c>
    </row>
    <row r="36" spans="1:6" s="4" customFormat="1">
      <c r="A36" s="33"/>
      <c r="B36" s="36" t="s">
        <v>100</v>
      </c>
      <c r="C36" s="17" t="s">
        <v>10</v>
      </c>
      <c r="D36" s="22">
        <f>30.27*0.4*0.1*2</f>
        <v>2.4216000000000002</v>
      </c>
      <c r="E36" s="312"/>
      <c r="F36" s="374">
        <f t="shared" si="2"/>
        <v>0</v>
      </c>
    </row>
    <row r="37" spans="1:6" s="4" customFormat="1" ht="15.6">
      <c r="A37" s="33" t="s">
        <v>24</v>
      </c>
      <c r="B37" s="88" t="s">
        <v>153</v>
      </c>
      <c r="C37" s="27"/>
      <c r="D37" s="22"/>
      <c r="E37" s="316"/>
      <c r="F37" s="374"/>
    </row>
    <row r="38" spans="1:6" s="4" customFormat="1">
      <c r="A38" s="33" t="s">
        <v>26</v>
      </c>
      <c r="B38" s="34" t="s">
        <v>377</v>
      </c>
      <c r="C38" s="17" t="s">
        <v>4</v>
      </c>
      <c r="D38" s="22">
        <f>(30.35*2+9.38*2+7.23*3)*3-(9*1.8*1.8+1.25*1.8*3+2.3*1.8*3+5*0.9*2.2+1.4*2.2*3+1.4*2*1.1)+5*(12*1.62/2)</f>
        <v>281.50000000000006</v>
      </c>
      <c r="E38" s="312"/>
      <c r="F38" s="374">
        <f t="shared" si="2"/>
        <v>0</v>
      </c>
    </row>
    <row r="39" spans="1:6" s="4" customFormat="1">
      <c r="A39" s="33"/>
      <c r="B39" s="34" t="s">
        <v>101</v>
      </c>
      <c r="C39" s="17" t="s">
        <v>10</v>
      </c>
      <c r="D39" s="22">
        <f>29*0.15*0.15*3.5+9*0.2*0.15*3.5</f>
        <v>3.2287499999999998</v>
      </c>
      <c r="E39" s="312"/>
      <c r="F39" s="374">
        <f t="shared" si="2"/>
        <v>0</v>
      </c>
    </row>
    <row r="40" spans="1:6" s="4" customFormat="1">
      <c r="A40" s="33"/>
      <c r="B40" s="34" t="s">
        <v>102</v>
      </c>
      <c r="C40" s="17" t="s">
        <v>10</v>
      </c>
      <c r="D40" s="22">
        <f>D29+(1*0.15*0.2+1.46*0.2*0.15)*3</f>
        <v>4.2567000000000004</v>
      </c>
      <c r="E40" s="312"/>
      <c r="F40" s="374">
        <f t="shared" si="2"/>
        <v>0</v>
      </c>
    </row>
    <row r="41" spans="1:6" s="4" customFormat="1">
      <c r="A41" s="33"/>
      <c r="B41" s="34" t="s">
        <v>105</v>
      </c>
      <c r="C41" s="17" t="s">
        <v>10</v>
      </c>
      <c r="D41" s="22">
        <f>5*10*0.2*0.1</f>
        <v>1</v>
      </c>
      <c r="E41" s="312"/>
      <c r="F41" s="374">
        <f t="shared" si="2"/>
        <v>0</v>
      </c>
    </row>
    <row r="42" spans="1:6" s="4" customFormat="1">
      <c r="A42" s="33" t="s">
        <v>104</v>
      </c>
      <c r="B42" s="34" t="s">
        <v>33</v>
      </c>
      <c r="C42" s="17"/>
      <c r="D42" s="22"/>
      <c r="E42" s="312"/>
      <c r="F42" s="374"/>
    </row>
    <row r="43" spans="1:6" s="4" customFormat="1">
      <c r="A43" s="33"/>
      <c r="B43" s="34" t="s">
        <v>185</v>
      </c>
      <c r="C43" s="17" t="s">
        <v>4</v>
      </c>
      <c r="D43" s="22">
        <f>(30.35*2+9.88+7.23)*3-D46-(4*0.9*2.2+31.14*2.2)+2*(12*1.6/2)</f>
        <v>120.042</v>
      </c>
      <c r="E43" s="312"/>
      <c r="F43" s="374">
        <f t="shared" si="2"/>
        <v>0</v>
      </c>
    </row>
    <row r="44" spans="1:6" s="4" customFormat="1">
      <c r="A44" s="33"/>
      <c r="B44" s="34" t="s">
        <v>187</v>
      </c>
      <c r="C44" s="17" t="s">
        <v>4</v>
      </c>
      <c r="D44" s="22">
        <f>(30.35*2+9.38*2+7.23*7)*3-D43-5*1*2.2+3*1.46*2.2+(2*(12*1.6/2))</f>
        <v>288.00400000000002</v>
      </c>
      <c r="E44" s="312"/>
      <c r="F44" s="374">
        <f t="shared" si="2"/>
        <v>0</v>
      </c>
    </row>
    <row r="45" spans="1:6" s="4" customFormat="1">
      <c r="A45" s="33" t="s">
        <v>28</v>
      </c>
      <c r="B45" s="34" t="s">
        <v>106</v>
      </c>
      <c r="C45" s="17"/>
      <c r="D45" s="22"/>
      <c r="E45" s="312"/>
      <c r="F45" s="374"/>
    </row>
    <row r="46" spans="1:6" s="4" customFormat="1" ht="30.6">
      <c r="A46" s="33" t="s">
        <v>29</v>
      </c>
      <c r="B46" s="56" t="s">
        <v>147</v>
      </c>
      <c r="C46" s="17" t="s">
        <v>107</v>
      </c>
      <c r="D46" s="22">
        <f>3*(3*1.8*1.8+2*2.5*1.8)</f>
        <v>56.16</v>
      </c>
      <c r="E46" s="312"/>
      <c r="F46" s="374">
        <f t="shared" si="2"/>
        <v>0</v>
      </c>
    </row>
    <row r="47" spans="1:6" s="4" customFormat="1" ht="15.6">
      <c r="A47" s="33" t="s">
        <v>6</v>
      </c>
      <c r="B47" s="88" t="s">
        <v>34</v>
      </c>
      <c r="C47" s="17"/>
      <c r="D47" s="22"/>
      <c r="E47" s="312"/>
      <c r="F47" s="374"/>
    </row>
    <row r="48" spans="1:6" s="4" customFormat="1" ht="30">
      <c r="A48" s="33" t="s">
        <v>30</v>
      </c>
      <c r="B48" s="56" t="s">
        <v>387</v>
      </c>
      <c r="C48" s="17" t="s">
        <v>9</v>
      </c>
      <c r="D48" s="22">
        <v>4</v>
      </c>
      <c r="E48" s="312"/>
      <c r="F48" s="374">
        <f t="shared" ref="F48" si="3">D48*E48</f>
        <v>0</v>
      </c>
    </row>
    <row r="49" spans="1:6" s="4" customFormat="1" ht="30">
      <c r="A49" s="33" t="s">
        <v>30</v>
      </c>
      <c r="B49" s="56" t="s">
        <v>388</v>
      </c>
      <c r="C49" s="17" t="s">
        <v>9</v>
      </c>
      <c r="D49" s="22">
        <v>3</v>
      </c>
      <c r="E49" s="312"/>
      <c r="F49" s="374">
        <f t="shared" si="2"/>
        <v>0</v>
      </c>
    </row>
    <row r="50" spans="1:6" s="4" customFormat="1">
      <c r="A50" s="33" t="s">
        <v>31</v>
      </c>
      <c r="B50" s="34" t="s">
        <v>156</v>
      </c>
      <c r="C50" s="17" t="s">
        <v>9</v>
      </c>
      <c r="D50" s="22">
        <v>3</v>
      </c>
      <c r="E50" s="312"/>
      <c r="F50" s="374">
        <f t="shared" si="2"/>
        <v>0</v>
      </c>
    </row>
    <row r="51" spans="1:6" s="4" customFormat="1" ht="15.6">
      <c r="A51" s="33" t="s">
        <v>111</v>
      </c>
      <c r="B51" s="32" t="s">
        <v>36</v>
      </c>
      <c r="C51" s="17"/>
      <c r="D51" s="22"/>
      <c r="E51" s="312"/>
      <c r="F51" s="374"/>
    </row>
    <row r="52" spans="1:6" s="4" customFormat="1">
      <c r="A52" s="33" t="s">
        <v>112</v>
      </c>
      <c r="B52" s="34" t="s">
        <v>108</v>
      </c>
      <c r="C52" s="17" t="s">
        <v>10</v>
      </c>
      <c r="D52" s="22">
        <f>1*1.5*0.3</f>
        <v>0.44999999999999996</v>
      </c>
      <c r="E52" s="312"/>
      <c r="F52" s="374">
        <f t="shared" si="2"/>
        <v>0</v>
      </c>
    </row>
    <row r="53" spans="1:6" s="4" customFormat="1">
      <c r="A53" s="33" t="s">
        <v>113</v>
      </c>
      <c r="B53" s="21" t="s">
        <v>110</v>
      </c>
      <c r="C53" s="17" t="s">
        <v>10</v>
      </c>
      <c r="D53" s="22">
        <f>1*1.5*0.2</f>
        <v>0.30000000000000004</v>
      </c>
      <c r="E53" s="312"/>
      <c r="F53" s="374">
        <f t="shared" si="2"/>
        <v>0</v>
      </c>
    </row>
    <row r="54" spans="1:6" s="4" customFormat="1">
      <c r="A54" s="33" t="s">
        <v>114</v>
      </c>
      <c r="B54" s="34" t="s">
        <v>87</v>
      </c>
      <c r="C54" s="17" t="s">
        <v>10</v>
      </c>
      <c r="D54" s="22">
        <f>1*1.5*0.05</f>
        <v>7.5000000000000011E-2</v>
      </c>
      <c r="E54" s="312"/>
      <c r="F54" s="374">
        <f t="shared" si="2"/>
        <v>0</v>
      </c>
    </row>
    <row r="55" spans="1:6" s="4" customFormat="1">
      <c r="A55" s="33" t="s">
        <v>155</v>
      </c>
      <c r="B55" s="34" t="s">
        <v>109</v>
      </c>
      <c r="C55" s="17" t="s">
        <v>4</v>
      </c>
      <c r="D55" s="22">
        <f>2.5*2*0.44</f>
        <v>2.2000000000000002</v>
      </c>
      <c r="E55" s="312"/>
      <c r="F55" s="374">
        <f t="shared" si="2"/>
        <v>0</v>
      </c>
    </row>
    <row r="56" spans="1:6" s="4" customFormat="1">
      <c r="A56" s="33"/>
      <c r="B56" s="34" t="s">
        <v>20</v>
      </c>
      <c r="C56" s="17" t="s">
        <v>10</v>
      </c>
      <c r="D56" s="22">
        <f>1*1.5*0.15</f>
        <v>0.22499999999999998</v>
      </c>
      <c r="E56" s="312"/>
      <c r="F56" s="374">
        <f t="shared" si="2"/>
        <v>0</v>
      </c>
    </row>
    <row r="57" spans="1:6" s="4" customFormat="1">
      <c r="A57" s="33"/>
      <c r="B57" s="34" t="s">
        <v>61</v>
      </c>
      <c r="C57" s="17" t="s">
        <v>23</v>
      </c>
      <c r="D57" s="22">
        <f>D56*70</f>
        <v>15.749999999999998</v>
      </c>
      <c r="E57" s="312"/>
      <c r="F57" s="374">
        <f t="shared" si="2"/>
        <v>0</v>
      </c>
    </row>
    <row r="58" spans="1:6" s="4" customFormat="1" ht="15.6">
      <c r="A58" s="33" t="s">
        <v>115</v>
      </c>
      <c r="B58" s="32" t="s">
        <v>117</v>
      </c>
      <c r="C58" s="17"/>
      <c r="D58" s="22"/>
      <c r="E58" s="312"/>
      <c r="F58" s="374"/>
    </row>
    <row r="59" spans="1:6" s="4" customFormat="1">
      <c r="A59" s="33" t="s">
        <v>293</v>
      </c>
      <c r="B59" s="90" t="s">
        <v>294</v>
      </c>
      <c r="C59" s="17" t="s">
        <v>9</v>
      </c>
      <c r="D59" s="22">
        <v>4</v>
      </c>
      <c r="E59" s="312"/>
      <c r="F59" s="374">
        <f t="shared" ref="F59:F60" si="4">D59*E59</f>
        <v>0</v>
      </c>
    </row>
    <row r="60" spans="1:6" s="4" customFormat="1" ht="15.6" thickBot="1">
      <c r="A60" s="33" t="s">
        <v>116</v>
      </c>
      <c r="B60" s="90" t="s">
        <v>157</v>
      </c>
      <c r="C60" s="17" t="s">
        <v>9</v>
      </c>
      <c r="D60" s="22">
        <v>3</v>
      </c>
      <c r="E60" s="312"/>
      <c r="F60" s="374">
        <f t="shared" si="4"/>
        <v>0</v>
      </c>
    </row>
    <row r="61" spans="1:6" s="4" customFormat="1" ht="17.399999999999999" customHeight="1" thickBot="1">
      <c r="A61" s="23"/>
      <c r="B61" s="96" t="s">
        <v>118</v>
      </c>
      <c r="C61" s="24"/>
      <c r="D61" s="25"/>
      <c r="E61" s="319"/>
      <c r="F61" s="376">
        <f>SUM(F26:F60)</f>
        <v>0</v>
      </c>
    </row>
    <row r="62" spans="1:6" s="4" customFormat="1" ht="16.2" thickBot="1">
      <c r="A62" s="57"/>
      <c r="B62" s="58" t="s">
        <v>158</v>
      </c>
      <c r="C62" s="59"/>
      <c r="D62" s="60"/>
      <c r="E62" s="317"/>
      <c r="F62" s="375">
        <f>F23+F61</f>
        <v>0</v>
      </c>
    </row>
    <row r="63" spans="1:6" s="45" customFormat="1" ht="15.6">
      <c r="A63" s="42"/>
      <c r="B63" s="43"/>
      <c r="C63" s="44"/>
      <c r="D63" s="38"/>
      <c r="E63" s="311"/>
      <c r="F63" s="373"/>
    </row>
    <row r="64" spans="1:6" s="45" customFormat="1" ht="15.6">
      <c r="A64" s="92" t="s">
        <v>18</v>
      </c>
      <c r="B64" s="95" t="s">
        <v>71</v>
      </c>
      <c r="C64" s="93"/>
      <c r="D64" s="94"/>
      <c r="E64" s="320"/>
      <c r="F64" s="377"/>
    </row>
    <row r="65" spans="1:6" s="45" customFormat="1" ht="15.6">
      <c r="A65" s="91"/>
      <c r="B65" s="378"/>
      <c r="C65" s="37"/>
      <c r="D65" s="38"/>
      <c r="E65" s="311"/>
      <c r="F65" s="373"/>
    </row>
    <row r="66" spans="1:6" s="4" customFormat="1">
      <c r="A66" s="33" t="s">
        <v>119</v>
      </c>
      <c r="B66" s="34" t="s">
        <v>120</v>
      </c>
      <c r="C66" s="17"/>
      <c r="D66" s="22"/>
      <c r="E66" s="312"/>
      <c r="F66" s="374"/>
    </row>
    <row r="67" spans="1:6" s="4" customFormat="1">
      <c r="A67" s="20" t="s">
        <v>122</v>
      </c>
      <c r="B67" s="21" t="s">
        <v>123</v>
      </c>
      <c r="C67" s="17" t="s">
        <v>10</v>
      </c>
      <c r="D67" s="22">
        <f>(31.27*10.88)/100</f>
        <v>3.4021759999999999</v>
      </c>
      <c r="E67" s="321"/>
      <c r="F67" s="374">
        <f t="shared" ref="F67:F68" si="5">D67*E67</f>
        <v>0</v>
      </c>
    </row>
    <row r="68" spans="1:6" s="4" customFormat="1" ht="15.6" thickBot="1">
      <c r="A68" s="20" t="s">
        <v>124</v>
      </c>
      <c r="B68" s="21" t="s">
        <v>125</v>
      </c>
      <c r="C68" s="17" t="s">
        <v>9</v>
      </c>
      <c r="D68" s="22">
        <v>20</v>
      </c>
      <c r="E68" s="312"/>
      <c r="F68" s="374">
        <f t="shared" si="5"/>
        <v>0</v>
      </c>
    </row>
    <row r="69" spans="1:6" s="4" customFormat="1" ht="16.2" thickBot="1">
      <c r="A69" s="61"/>
      <c r="B69" s="58" t="s">
        <v>159</v>
      </c>
      <c r="C69" s="62"/>
      <c r="D69" s="63"/>
      <c r="E69" s="322"/>
      <c r="F69" s="375">
        <f>SUM(F67:F68)</f>
        <v>0</v>
      </c>
    </row>
    <row r="70" spans="1:6" s="4" customFormat="1" ht="15.6">
      <c r="A70" s="46"/>
      <c r="B70" s="47"/>
      <c r="C70" s="30"/>
      <c r="D70" s="22"/>
      <c r="E70" s="318"/>
      <c r="F70" s="374"/>
    </row>
    <row r="71" spans="1:6" s="4" customFormat="1" ht="15.6">
      <c r="A71" s="92" t="s">
        <v>41</v>
      </c>
      <c r="B71" s="97" t="s">
        <v>42</v>
      </c>
      <c r="C71" s="93"/>
      <c r="D71" s="94"/>
      <c r="E71" s="320"/>
      <c r="F71" s="377"/>
    </row>
    <row r="72" spans="1:6" s="4" customFormat="1" ht="15.6">
      <c r="A72" s="31"/>
      <c r="B72" s="47"/>
      <c r="C72" s="17"/>
      <c r="D72" s="22"/>
      <c r="E72" s="312"/>
      <c r="F72" s="374"/>
    </row>
    <row r="73" spans="1:6" s="4" customFormat="1" ht="15.6">
      <c r="A73" s="33" t="s">
        <v>126</v>
      </c>
      <c r="B73" s="47" t="s">
        <v>166</v>
      </c>
      <c r="C73" s="17"/>
      <c r="D73" s="22"/>
      <c r="E73" s="312"/>
      <c r="F73" s="374"/>
    </row>
    <row r="74" spans="1:6" s="4" customFormat="1">
      <c r="A74" s="33" t="s">
        <v>127</v>
      </c>
      <c r="B74" s="34" t="s">
        <v>378</v>
      </c>
      <c r="C74" s="17" t="s">
        <v>4</v>
      </c>
      <c r="D74" s="22">
        <f>31.87*12</f>
        <v>382.44</v>
      </c>
      <c r="E74" s="312"/>
      <c r="F74" s="374">
        <f>D74*E74</f>
        <v>0</v>
      </c>
    </row>
    <row r="75" spans="1:6" s="4" customFormat="1" ht="15.6">
      <c r="A75" s="33" t="s">
        <v>128</v>
      </c>
      <c r="B75" s="47" t="s">
        <v>129</v>
      </c>
      <c r="C75" s="17"/>
      <c r="D75" s="22"/>
      <c r="E75" s="312"/>
      <c r="F75" s="374"/>
    </row>
    <row r="76" spans="1:6" s="4" customFormat="1" ht="15.6">
      <c r="A76" s="33" t="s">
        <v>130</v>
      </c>
      <c r="B76" s="34" t="s">
        <v>379</v>
      </c>
      <c r="C76" s="17" t="s">
        <v>7</v>
      </c>
      <c r="D76" s="22">
        <v>31.87</v>
      </c>
      <c r="E76" s="312"/>
      <c r="F76" s="374">
        <f t="shared" ref="F76:F78" si="6">D76*E76</f>
        <v>0</v>
      </c>
    </row>
    <row r="77" spans="1:6" s="4" customFormat="1" ht="15.6">
      <c r="A77" s="33" t="s">
        <v>131</v>
      </c>
      <c r="B77" s="47" t="s">
        <v>133</v>
      </c>
      <c r="C77" s="27"/>
      <c r="D77" s="22"/>
      <c r="E77" s="316"/>
      <c r="F77" s="374"/>
    </row>
    <row r="78" spans="1:6" s="4" customFormat="1" ht="15.6" thickBot="1">
      <c r="A78" s="40" t="s">
        <v>132</v>
      </c>
      <c r="B78" s="34" t="s">
        <v>380</v>
      </c>
      <c r="C78" s="41" t="s">
        <v>4</v>
      </c>
      <c r="D78" s="22">
        <f>(31.87*2+24)*0.4</f>
        <v>35.096000000000004</v>
      </c>
      <c r="E78" s="323"/>
      <c r="F78" s="374">
        <f t="shared" si="6"/>
        <v>0</v>
      </c>
    </row>
    <row r="79" spans="1:6" s="4" customFormat="1" ht="16.2" thickBot="1">
      <c r="A79" s="61"/>
      <c r="B79" s="58" t="s">
        <v>162</v>
      </c>
      <c r="C79" s="59"/>
      <c r="D79" s="60"/>
      <c r="E79" s="317"/>
      <c r="F79" s="375">
        <f>SUM(F74:F78)</f>
        <v>0</v>
      </c>
    </row>
    <row r="80" spans="1:6" s="4" customFormat="1" ht="15.6">
      <c r="A80" s="19"/>
      <c r="B80" s="48"/>
      <c r="C80" s="17"/>
      <c r="D80" s="22"/>
      <c r="E80" s="312"/>
      <c r="F80" s="374"/>
    </row>
    <row r="81" spans="1:6" s="4" customFormat="1" ht="15.6">
      <c r="A81" s="98" t="s">
        <v>47</v>
      </c>
      <c r="B81" s="95" t="s">
        <v>48</v>
      </c>
      <c r="C81" s="93"/>
      <c r="D81" s="94"/>
      <c r="E81" s="320"/>
      <c r="F81" s="377"/>
    </row>
    <row r="82" spans="1:6" s="4" customFormat="1" ht="15.6">
      <c r="A82" s="19"/>
      <c r="B82" s="48"/>
      <c r="C82" s="17"/>
      <c r="D82" s="22"/>
      <c r="E82" s="312"/>
      <c r="F82" s="374"/>
    </row>
    <row r="83" spans="1:6" s="4" customFormat="1" ht="15.6">
      <c r="A83" s="21" t="s">
        <v>49</v>
      </c>
      <c r="B83" s="48" t="s">
        <v>51</v>
      </c>
      <c r="C83" s="17"/>
      <c r="D83" s="22"/>
      <c r="E83" s="312"/>
      <c r="F83" s="374"/>
    </row>
    <row r="84" spans="1:6" s="4" customFormat="1" ht="15.6" thickBot="1">
      <c r="A84" s="34" t="s">
        <v>50</v>
      </c>
      <c r="B84" s="49" t="s">
        <v>167</v>
      </c>
      <c r="C84" s="17" t="s">
        <v>134</v>
      </c>
      <c r="D84" s="22">
        <v>1</v>
      </c>
      <c r="E84" s="312"/>
      <c r="F84" s="374">
        <f>D84*E84</f>
        <v>0</v>
      </c>
    </row>
    <row r="85" spans="1:6" s="4" customFormat="1" ht="16.2" thickBot="1">
      <c r="A85" s="86"/>
      <c r="B85" s="87" t="s">
        <v>163</v>
      </c>
      <c r="C85" s="84"/>
      <c r="D85" s="83"/>
      <c r="E85" s="324"/>
      <c r="F85" s="379">
        <f>F84</f>
        <v>0</v>
      </c>
    </row>
    <row r="86" spans="1:6" s="4" customFormat="1" ht="15.6">
      <c r="A86" s="46"/>
      <c r="B86" s="47"/>
      <c r="C86" s="50"/>
      <c r="D86" s="51"/>
      <c r="E86" s="318"/>
      <c r="F86" s="374"/>
    </row>
    <row r="87" spans="1:6" s="4" customFormat="1" ht="15.6">
      <c r="A87" s="98" t="s">
        <v>72</v>
      </c>
      <c r="B87" s="99" t="s">
        <v>55</v>
      </c>
      <c r="C87" s="100"/>
      <c r="D87" s="101"/>
      <c r="E87" s="325"/>
      <c r="F87" s="377"/>
    </row>
    <row r="88" spans="1:6" s="4" customFormat="1" ht="15.6">
      <c r="A88" s="19"/>
      <c r="B88" s="52"/>
      <c r="C88" s="27"/>
      <c r="D88" s="28"/>
      <c r="E88" s="316"/>
      <c r="F88" s="374"/>
    </row>
    <row r="89" spans="1:6" s="4" customFormat="1" ht="15.6">
      <c r="A89" s="20" t="s">
        <v>135</v>
      </c>
      <c r="B89" s="52" t="s">
        <v>137</v>
      </c>
      <c r="C89" s="17"/>
      <c r="D89" s="22"/>
      <c r="E89" s="312"/>
      <c r="F89" s="374"/>
    </row>
    <row r="90" spans="1:6" s="4" customFormat="1">
      <c r="A90" s="20" t="s">
        <v>168</v>
      </c>
      <c r="B90" s="21" t="s">
        <v>381</v>
      </c>
      <c r="C90" s="17" t="s">
        <v>9</v>
      </c>
      <c r="D90" s="22">
        <v>3</v>
      </c>
      <c r="E90" s="312"/>
      <c r="F90" s="374">
        <f>D90*E90</f>
        <v>0</v>
      </c>
    </row>
    <row r="91" spans="1:6" s="4" customFormat="1">
      <c r="A91" s="20" t="s">
        <v>168</v>
      </c>
      <c r="B91" s="21" t="s">
        <v>391</v>
      </c>
      <c r="C91" s="17" t="s">
        <v>9</v>
      </c>
      <c r="D91" s="22">
        <v>3</v>
      </c>
      <c r="E91" s="312"/>
      <c r="F91" s="374">
        <f>D91*E91</f>
        <v>0</v>
      </c>
    </row>
    <row r="92" spans="1:6" s="4" customFormat="1" ht="15.6">
      <c r="A92" s="20" t="s">
        <v>136</v>
      </c>
      <c r="B92" s="52" t="s">
        <v>138</v>
      </c>
      <c r="C92" s="17"/>
      <c r="D92" s="22"/>
      <c r="E92" s="312"/>
      <c r="F92" s="374"/>
    </row>
    <row r="93" spans="1:6" s="4" customFormat="1" ht="15.6" thickBot="1">
      <c r="A93" s="20" t="s">
        <v>169</v>
      </c>
      <c r="B93" s="21" t="s">
        <v>139</v>
      </c>
      <c r="C93" s="17" t="s">
        <v>9</v>
      </c>
      <c r="D93" s="22">
        <v>3</v>
      </c>
      <c r="E93" s="312"/>
      <c r="F93" s="374">
        <f t="shared" ref="F93" si="7">D93*E93</f>
        <v>0</v>
      </c>
    </row>
    <row r="94" spans="1:6" s="4" customFormat="1" ht="16.2" thickBot="1">
      <c r="A94" s="86"/>
      <c r="B94" s="81" t="s">
        <v>164</v>
      </c>
      <c r="C94" s="82"/>
      <c r="D94" s="85"/>
      <c r="E94" s="326"/>
      <c r="F94" s="379">
        <f>SUM(F90:F93)</f>
        <v>0</v>
      </c>
    </row>
    <row r="95" spans="1:6" s="4" customFormat="1" ht="15.6">
      <c r="A95" s="19"/>
      <c r="B95" s="16"/>
      <c r="C95" s="17"/>
      <c r="D95" s="22"/>
      <c r="E95" s="312"/>
      <c r="F95" s="374"/>
    </row>
    <row r="96" spans="1:6" s="4" customFormat="1" ht="15.6">
      <c r="A96" s="98" t="s">
        <v>74</v>
      </c>
      <c r="B96" s="102" t="s">
        <v>11</v>
      </c>
      <c r="C96" s="93"/>
      <c r="D96" s="101"/>
      <c r="E96" s="325"/>
      <c r="F96" s="377"/>
    </row>
    <row r="97" spans="1:7" s="4" customFormat="1" ht="15.6">
      <c r="A97" s="19"/>
      <c r="B97" s="16"/>
      <c r="C97" s="17"/>
      <c r="D97" s="28"/>
      <c r="E97" s="316"/>
      <c r="F97" s="374"/>
    </row>
    <row r="98" spans="1:7" s="35" customFormat="1" ht="15.6">
      <c r="A98" s="20" t="s">
        <v>140</v>
      </c>
      <c r="B98" s="52" t="s">
        <v>141</v>
      </c>
      <c r="C98" s="54"/>
      <c r="D98" s="51"/>
      <c r="E98" s="327"/>
      <c r="F98" s="374"/>
      <c r="G98" s="4"/>
    </row>
    <row r="99" spans="1:7" s="35" customFormat="1">
      <c r="A99" s="20" t="s">
        <v>171</v>
      </c>
      <c r="B99" s="53" t="s">
        <v>59</v>
      </c>
      <c r="C99" s="17" t="s">
        <v>4</v>
      </c>
      <c r="D99" s="22">
        <f>(30.27*2+9.88+7.23)*2-(3*1.46*2.2+3*1*2.2)</f>
        <v>139.06400000000002</v>
      </c>
      <c r="E99" s="312"/>
      <c r="F99" s="374">
        <f>D99*E99</f>
        <v>0</v>
      </c>
      <c r="G99" s="4"/>
    </row>
    <row r="100" spans="1:7" s="35" customFormat="1" ht="30.6">
      <c r="A100" s="20" t="s">
        <v>172</v>
      </c>
      <c r="B100" s="53" t="s">
        <v>142</v>
      </c>
      <c r="C100" s="17" t="s">
        <v>4</v>
      </c>
      <c r="D100" s="22">
        <f>(30.27*2+9.88+7.23)*1.5</f>
        <v>116.47500000000001</v>
      </c>
      <c r="E100" s="312"/>
      <c r="F100" s="374">
        <f t="shared" ref="F100:F107" si="8">D100*E100</f>
        <v>0</v>
      </c>
      <c r="G100" s="4"/>
    </row>
    <row r="101" spans="1:7" s="4" customFormat="1" ht="15.6">
      <c r="A101" s="20" t="s">
        <v>173</v>
      </c>
      <c r="B101" s="52" t="s">
        <v>143</v>
      </c>
      <c r="C101" s="17"/>
      <c r="D101" s="22"/>
      <c r="E101" s="312"/>
      <c r="F101" s="374"/>
    </row>
    <row r="102" spans="1:7" s="4" customFormat="1">
      <c r="A102" s="20" t="s">
        <v>174</v>
      </c>
      <c r="B102" s="53" t="s">
        <v>60</v>
      </c>
      <c r="C102" s="17" t="s">
        <v>4</v>
      </c>
      <c r="D102" s="22">
        <f>(30.27*2+9.88+7.23*6)*3.5-(3*1.46*2.2+4*1*2.2)</f>
        <v>379.86400000000009</v>
      </c>
      <c r="E102" s="312"/>
      <c r="F102" s="374">
        <f t="shared" si="8"/>
        <v>0</v>
      </c>
    </row>
    <row r="103" spans="1:7" s="4" customFormat="1" ht="15.6">
      <c r="A103" s="21" t="s">
        <v>175</v>
      </c>
      <c r="B103" s="52" t="s">
        <v>144</v>
      </c>
      <c r="C103" s="17"/>
      <c r="D103" s="22"/>
      <c r="E103" s="316"/>
      <c r="F103" s="374"/>
    </row>
    <row r="104" spans="1:7" s="4" customFormat="1" ht="28.2" customHeight="1">
      <c r="A104" s="21" t="s">
        <v>176</v>
      </c>
      <c r="B104" s="53" t="s">
        <v>145</v>
      </c>
      <c r="C104" s="17" t="s">
        <v>4</v>
      </c>
      <c r="D104" s="22">
        <f>2*(3*1.46*2.2+5*1*2.2)</f>
        <v>41.272000000000006</v>
      </c>
      <c r="E104" s="312"/>
      <c r="F104" s="374">
        <f t="shared" si="8"/>
        <v>0</v>
      </c>
    </row>
    <row r="105" spans="1:7" s="4" customFormat="1" ht="15.6">
      <c r="A105" s="21" t="s">
        <v>177</v>
      </c>
      <c r="B105" s="52" t="s">
        <v>382</v>
      </c>
      <c r="C105" s="17"/>
      <c r="D105" s="22"/>
      <c r="E105" s="312"/>
      <c r="F105" s="374"/>
    </row>
    <row r="106" spans="1:7" s="4" customFormat="1">
      <c r="A106" s="21" t="s">
        <v>178</v>
      </c>
      <c r="B106" s="53" t="s">
        <v>383</v>
      </c>
      <c r="C106" s="17" t="s">
        <v>4</v>
      </c>
      <c r="D106" s="22">
        <f>6*1.4*3+4*3*1.4</f>
        <v>41.999999999999993</v>
      </c>
      <c r="E106" s="312"/>
      <c r="F106" s="374">
        <f t="shared" ref="F106" si="9">D106*E106</f>
        <v>0</v>
      </c>
    </row>
    <row r="107" spans="1:7" s="4" customFormat="1" ht="15.6" thickBot="1">
      <c r="A107" s="21" t="s">
        <v>178</v>
      </c>
      <c r="B107" s="53" t="s">
        <v>146</v>
      </c>
      <c r="C107" s="17" t="s">
        <v>4</v>
      </c>
      <c r="D107" s="22">
        <f>6*1.4*3+4*3*1.4</f>
        <v>41.999999999999993</v>
      </c>
      <c r="E107" s="312"/>
      <c r="F107" s="374">
        <f t="shared" si="8"/>
        <v>0</v>
      </c>
    </row>
    <row r="108" spans="1:7" s="4" customFormat="1" ht="16.2" thickBot="1">
      <c r="A108" s="80"/>
      <c r="B108" s="81" t="s">
        <v>165</v>
      </c>
      <c r="C108" s="82"/>
      <c r="D108" s="83"/>
      <c r="E108" s="84"/>
      <c r="F108" s="379">
        <f>SUM(F98:F107)</f>
        <v>0</v>
      </c>
    </row>
    <row r="109" spans="1:7" s="45" customFormat="1" ht="16.2" thickBot="1">
      <c r="A109" s="198"/>
      <c r="B109" s="199"/>
      <c r="C109" s="200"/>
      <c r="D109" s="201"/>
      <c r="E109" s="202"/>
      <c r="F109" s="380"/>
    </row>
    <row r="110" spans="1:7" s="4" customFormat="1" ht="16.2" thickBot="1">
      <c r="A110" s="64"/>
      <c r="B110" s="65" t="s">
        <v>295</v>
      </c>
      <c r="C110" s="66"/>
      <c r="D110" s="67"/>
      <c r="E110" s="68"/>
      <c r="F110" s="381">
        <f>F14+F62+F69+F79+F85+F94+F108</f>
        <v>0</v>
      </c>
    </row>
    <row r="111" spans="1:7" s="45" customFormat="1" ht="16.2" thickBot="1">
      <c r="A111" s="198"/>
      <c r="B111" s="199"/>
      <c r="C111" s="200"/>
      <c r="D111" s="201"/>
      <c r="E111" s="202"/>
      <c r="F111" s="380"/>
    </row>
    <row r="112" spans="1:7" s="4" customFormat="1" ht="16.2" thickBot="1">
      <c r="A112" s="64"/>
      <c r="B112" s="65" t="s">
        <v>384</v>
      </c>
      <c r="C112" s="66"/>
      <c r="D112" s="299">
        <v>0.15</v>
      </c>
      <c r="E112" s="68"/>
      <c r="F112" s="382">
        <f>F110*D112</f>
        <v>0</v>
      </c>
    </row>
    <row r="113" spans="1:6" s="45" customFormat="1" ht="16.2" thickBot="1">
      <c r="A113" s="36"/>
      <c r="B113" s="378"/>
      <c r="C113" s="383"/>
      <c r="D113" s="384"/>
      <c r="E113" s="385"/>
      <c r="F113" s="386"/>
    </row>
    <row r="114" spans="1:6" s="4" customFormat="1" ht="16.2" thickBot="1">
      <c r="A114" s="64"/>
      <c r="B114" s="65" t="s">
        <v>385</v>
      </c>
      <c r="C114" s="66"/>
      <c r="D114" s="67"/>
      <c r="E114" s="68"/>
      <c r="F114" s="382">
        <f>F110+F112</f>
        <v>0</v>
      </c>
    </row>
    <row r="115" spans="1:6" s="45" customFormat="1" ht="15.6">
      <c r="A115" s="36"/>
      <c r="B115" s="378"/>
      <c r="C115" s="383"/>
      <c r="D115" s="384"/>
      <c r="E115" s="385"/>
      <c r="F115" s="386"/>
    </row>
  </sheetData>
  <sheetProtection selectLockedCells="1"/>
  <mergeCells count="2">
    <mergeCell ref="B4:C4"/>
    <mergeCell ref="A5:F5"/>
  </mergeCells>
  <pageMargins left="0.7" right="0.7" top="0.75" bottom="0.75" header="0.3" footer="0.3"/>
  <pageSetup paperSize="9" scale="53" fitToHeight="4" orientation="portrait" r:id="rId1"/>
  <rowBreaks count="1" manualBreakCount="1">
    <brk id="7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185C5-EED1-4406-9CAC-82FBB0DA0F46}">
  <dimension ref="A1:F134"/>
  <sheetViews>
    <sheetView view="pageBreakPreview" topLeftCell="A110" zoomScaleNormal="100" zoomScaleSheetLayoutView="100" workbookViewId="0">
      <selection activeCell="H6" sqref="H6"/>
    </sheetView>
  </sheetViews>
  <sheetFormatPr baseColWidth="10" defaultRowHeight="14.4"/>
  <cols>
    <col min="2" max="2" width="53.33203125" customWidth="1"/>
    <col min="3" max="3" width="7.21875" customWidth="1"/>
    <col min="6" max="6" width="15.5546875" customWidth="1"/>
  </cols>
  <sheetData>
    <row r="1" spans="1:6" ht="89.4" customHeight="1">
      <c r="A1" s="355"/>
      <c r="B1" s="355"/>
      <c r="C1" s="355"/>
      <c r="D1" s="355"/>
      <c r="E1" s="355"/>
      <c r="F1" s="355"/>
    </row>
    <row r="2" spans="1:6">
      <c r="D2" s="197"/>
    </row>
    <row r="3" spans="1:6" s="303" customFormat="1" ht="17.25" customHeight="1">
      <c r="A3" s="358" t="s">
        <v>394</v>
      </c>
      <c r="B3" s="359"/>
      <c r="C3" s="359"/>
      <c r="D3" s="359"/>
      <c r="E3" s="359"/>
      <c r="F3" s="360"/>
    </row>
    <row r="4" spans="1:6" s="34" customFormat="1" ht="12.75" customHeight="1" thickBot="1">
      <c r="A4" s="120"/>
      <c r="B4" s="120"/>
      <c r="C4" s="121"/>
      <c r="D4" s="122"/>
      <c r="E4" s="121"/>
      <c r="F4" s="121"/>
    </row>
    <row r="5" spans="1:6" s="34" customFormat="1" ht="29.4" thickTop="1">
      <c r="A5" s="123" t="s">
        <v>12</v>
      </c>
      <c r="B5" s="124" t="s">
        <v>8</v>
      </c>
      <c r="C5" s="125" t="s">
        <v>0</v>
      </c>
      <c r="D5" s="126" t="s">
        <v>2</v>
      </c>
      <c r="E5" s="125" t="s">
        <v>3</v>
      </c>
      <c r="F5" s="125" t="s">
        <v>1</v>
      </c>
    </row>
    <row r="6" spans="1:6" s="34" customFormat="1" ht="15.6">
      <c r="A6" s="127"/>
      <c r="B6" s="128"/>
      <c r="C6" s="129"/>
      <c r="D6" s="130"/>
      <c r="E6" s="330"/>
      <c r="F6" s="129"/>
    </row>
    <row r="7" spans="1:6" s="34" customFormat="1" ht="18" customHeight="1">
      <c r="A7" s="131" t="s">
        <v>13</v>
      </c>
      <c r="B7" s="132" t="s">
        <v>189</v>
      </c>
      <c r="C7" s="133"/>
      <c r="D7" s="134"/>
      <c r="E7" s="331"/>
      <c r="F7" s="133"/>
    </row>
    <row r="8" spans="1:6" s="36" customFormat="1" ht="18" customHeight="1">
      <c r="A8" s="135" t="s">
        <v>68</v>
      </c>
      <c r="B8" s="136" t="s">
        <v>357</v>
      </c>
      <c r="C8" s="137" t="s">
        <v>190</v>
      </c>
      <c r="D8" s="138">
        <v>0</v>
      </c>
      <c r="E8" s="332"/>
      <c r="F8" s="139">
        <f>D8*E8</f>
        <v>0</v>
      </c>
    </row>
    <row r="9" spans="1:6" s="36" customFormat="1" ht="18" customHeight="1">
      <c r="A9" s="135" t="s">
        <v>5</v>
      </c>
      <c r="B9" s="136" t="s">
        <v>182</v>
      </c>
      <c r="C9" s="137" t="s">
        <v>190</v>
      </c>
      <c r="D9" s="138">
        <v>0</v>
      </c>
      <c r="E9" s="332"/>
      <c r="F9" s="139">
        <f>D9*E9</f>
        <v>0</v>
      </c>
    </row>
    <row r="10" spans="1:6" s="36" customFormat="1" ht="18" customHeight="1">
      <c r="A10" s="135" t="s">
        <v>69</v>
      </c>
      <c r="B10" s="136">
        <v>1</v>
      </c>
      <c r="C10" s="137" t="s">
        <v>190</v>
      </c>
      <c r="D10" s="138">
        <v>1</v>
      </c>
      <c r="E10" s="332"/>
      <c r="F10" s="139">
        <f>D10*E10</f>
        <v>0</v>
      </c>
    </row>
    <row r="11" spans="1:6" s="34" customFormat="1" ht="15.6">
      <c r="A11" s="127"/>
      <c r="B11" s="140" t="s">
        <v>191</v>
      </c>
      <c r="C11" s="141"/>
      <c r="D11" s="142"/>
      <c r="E11" s="333"/>
      <c r="F11" s="143">
        <f>SUM(F8:F10)</f>
        <v>0</v>
      </c>
    </row>
    <row r="12" spans="1:6" s="34" customFormat="1" ht="15.6">
      <c r="A12" s="127"/>
      <c r="B12" s="128"/>
      <c r="C12" s="129"/>
      <c r="D12" s="144"/>
      <c r="E12" s="334"/>
      <c r="F12" s="145"/>
    </row>
    <row r="13" spans="1:6" s="34" customFormat="1" ht="15.6">
      <c r="A13" s="131" t="s">
        <v>14</v>
      </c>
      <c r="B13" s="132" t="s">
        <v>15</v>
      </c>
      <c r="C13" s="133"/>
      <c r="D13" s="134"/>
      <c r="E13" s="331"/>
      <c r="F13" s="133"/>
    </row>
    <row r="14" spans="1:6" s="34" customFormat="1" ht="17.25" customHeight="1">
      <c r="A14" s="146">
        <v>2</v>
      </c>
      <c r="B14" s="147" t="s">
        <v>192</v>
      </c>
      <c r="C14" s="148"/>
      <c r="D14" s="149"/>
      <c r="E14" s="335"/>
      <c r="F14" s="145"/>
    </row>
    <row r="15" spans="1:6" s="36" customFormat="1" ht="17.25" customHeight="1">
      <c r="A15" s="135" t="s">
        <v>79</v>
      </c>
      <c r="B15" s="150" t="s">
        <v>392</v>
      </c>
      <c r="C15" s="151" t="s">
        <v>291</v>
      </c>
      <c r="D15" s="152">
        <f>49.75*0.85*0.6</f>
        <v>25.372499999999999</v>
      </c>
      <c r="E15" s="336"/>
      <c r="F15" s="139">
        <f>D15*E15</f>
        <v>0</v>
      </c>
    </row>
    <row r="16" spans="1:6" s="36" customFormat="1" ht="17.25" customHeight="1">
      <c r="A16" s="135" t="s">
        <v>81</v>
      </c>
      <c r="B16" s="150" t="s">
        <v>193</v>
      </c>
      <c r="C16" s="151" t="s">
        <v>291</v>
      </c>
      <c r="D16" s="152">
        <f>49.75*0.45*0.4</f>
        <v>8.9550000000000001</v>
      </c>
      <c r="E16" s="336"/>
      <c r="F16" s="139">
        <f>D16*E16</f>
        <v>0</v>
      </c>
    </row>
    <row r="17" spans="1:6" s="36" customFormat="1" ht="17.25" customHeight="1">
      <c r="A17" s="135" t="s">
        <v>82</v>
      </c>
      <c r="B17" s="150" t="s">
        <v>194</v>
      </c>
      <c r="C17" s="151" t="s">
        <v>291</v>
      </c>
      <c r="D17" s="152">
        <f>12*7.45*0.75</f>
        <v>67.050000000000011</v>
      </c>
      <c r="E17" s="336"/>
      <c r="F17" s="139">
        <f>D17*E17</f>
        <v>0</v>
      </c>
    </row>
    <row r="18" spans="1:6" s="34" customFormat="1" ht="15.6">
      <c r="A18" s="153"/>
      <c r="B18" s="154" t="s">
        <v>195</v>
      </c>
      <c r="C18" s="155"/>
      <c r="D18" s="156"/>
      <c r="E18" s="337"/>
      <c r="F18" s="157">
        <f>SUM(F15:F17)</f>
        <v>0</v>
      </c>
    </row>
    <row r="19" spans="1:6" s="34" customFormat="1" ht="15.6">
      <c r="A19" s="153"/>
      <c r="B19" s="158"/>
      <c r="C19" s="129"/>
      <c r="D19" s="144"/>
      <c r="E19" s="334"/>
      <c r="F19" s="145"/>
    </row>
    <row r="20" spans="1:6" s="34" customFormat="1" ht="17.25" customHeight="1">
      <c r="A20" s="146" t="s">
        <v>16</v>
      </c>
      <c r="B20" s="147" t="s">
        <v>196</v>
      </c>
      <c r="C20" s="148"/>
      <c r="D20" s="149"/>
      <c r="E20" s="335"/>
      <c r="F20" s="145"/>
    </row>
    <row r="21" spans="1:6" s="34" customFormat="1" ht="17.25" customHeight="1">
      <c r="A21" s="159" t="s">
        <v>17</v>
      </c>
      <c r="B21" s="160" t="s">
        <v>19</v>
      </c>
      <c r="C21" s="148"/>
      <c r="D21" s="130"/>
      <c r="E21" s="335"/>
      <c r="F21" s="145"/>
    </row>
    <row r="22" spans="1:6" s="36" customFormat="1" ht="17.25" customHeight="1">
      <c r="A22" s="135" t="s">
        <v>88</v>
      </c>
      <c r="B22" s="136" t="s">
        <v>197</v>
      </c>
      <c r="C22" s="137"/>
      <c r="D22" s="152"/>
      <c r="E22" s="336"/>
      <c r="F22" s="139"/>
    </row>
    <row r="23" spans="1:6" s="36" customFormat="1" ht="17.25" customHeight="1">
      <c r="A23" s="135" t="s">
        <v>198</v>
      </c>
      <c r="B23" s="136" t="s">
        <v>20</v>
      </c>
      <c r="C23" s="137" t="s">
        <v>10</v>
      </c>
      <c r="D23" s="152">
        <f>49.75*0.6*0.2</f>
        <v>5.97</v>
      </c>
      <c r="E23" s="336"/>
      <c r="F23" s="139">
        <f t="shared" ref="F23:F35" si="0">D23*E23</f>
        <v>0</v>
      </c>
    </row>
    <row r="24" spans="1:6" s="36" customFormat="1" ht="17.25" customHeight="1">
      <c r="A24" s="135" t="s">
        <v>199</v>
      </c>
      <c r="B24" s="136" t="s">
        <v>393</v>
      </c>
      <c r="C24" s="137" t="s">
        <v>23</v>
      </c>
      <c r="D24" s="152">
        <f>D23*80</f>
        <v>477.59999999999997</v>
      </c>
      <c r="E24" s="336"/>
      <c r="F24" s="139">
        <f t="shared" si="0"/>
        <v>0</v>
      </c>
    </row>
    <row r="25" spans="1:6" s="36" customFormat="1" ht="17.25" customHeight="1">
      <c r="A25" s="135" t="s">
        <v>89</v>
      </c>
      <c r="B25" s="136" t="s">
        <v>200</v>
      </c>
      <c r="C25" s="137"/>
      <c r="D25" s="152"/>
      <c r="E25" s="336"/>
      <c r="F25" s="139"/>
    </row>
    <row r="26" spans="1:6" s="36" customFormat="1" ht="17.25" customHeight="1">
      <c r="A26" s="135" t="s">
        <v>201</v>
      </c>
      <c r="B26" s="136" t="s">
        <v>20</v>
      </c>
      <c r="C26" s="137" t="s">
        <v>10</v>
      </c>
      <c r="D26" s="152">
        <f>11*0.15*0.15*0.8</f>
        <v>0.19799999999999998</v>
      </c>
      <c r="E26" s="336"/>
      <c r="F26" s="139">
        <f t="shared" si="0"/>
        <v>0</v>
      </c>
    </row>
    <row r="27" spans="1:6" s="36" customFormat="1" ht="17.25" customHeight="1">
      <c r="A27" s="135" t="s">
        <v>199</v>
      </c>
      <c r="B27" s="136" t="s">
        <v>393</v>
      </c>
      <c r="C27" s="137" t="s">
        <v>23</v>
      </c>
      <c r="D27" s="152">
        <f>D26*80</f>
        <v>15.839999999999998</v>
      </c>
      <c r="E27" s="336"/>
      <c r="F27" s="139">
        <f t="shared" si="0"/>
        <v>0</v>
      </c>
    </row>
    <row r="28" spans="1:6" s="36" customFormat="1" ht="17.25" customHeight="1">
      <c r="A28" s="135" t="s">
        <v>202</v>
      </c>
      <c r="B28" s="136" t="s">
        <v>21</v>
      </c>
      <c r="C28" s="137" t="s">
        <v>4</v>
      </c>
      <c r="D28" s="152">
        <f>D26*12</f>
        <v>2.3759999999999999</v>
      </c>
      <c r="E28" s="336"/>
      <c r="F28" s="139">
        <f t="shared" si="0"/>
        <v>0</v>
      </c>
    </row>
    <row r="29" spans="1:6" s="36" customFormat="1" ht="17.25" customHeight="1">
      <c r="A29" s="135" t="s">
        <v>91</v>
      </c>
      <c r="B29" s="136" t="s">
        <v>203</v>
      </c>
      <c r="C29" s="137"/>
      <c r="D29" s="152"/>
      <c r="E29" s="336"/>
      <c r="F29" s="139"/>
    </row>
    <row r="30" spans="1:6" s="36" customFormat="1" ht="17.25" customHeight="1">
      <c r="A30" s="135" t="s">
        <v>204</v>
      </c>
      <c r="B30" s="136" t="s">
        <v>20</v>
      </c>
      <c r="C30" s="137" t="s">
        <v>10</v>
      </c>
      <c r="D30" s="152">
        <f>49.75*0.2*0.15</f>
        <v>1.4925000000000002</v>
      </c>
      <c r="E30" s="336"/>
      <c r="F30" s="139">
        <f t="shared" si="0"/>
        <v>0</v>
      </c>
    </row>
    <row r="31" spans="1:6" s="36" customFormat="1" ht="17.25" customHeight="1">
      <c r="A31" s="135" t="s">
        <v>205</v>
      </c>
      <c r="B31" s="136" t="s">
        <v>393</v>
      </c>
      <c r="C31" s="137" t="s">
        <v>23</v>
      </c>
      <c r="D31" s="152">
        <f>D30*80</f>
        <v>119.4</v>
      </c>
      <c r="E31" s="336"/>
      <c r="F31" s="139">
        <f t="shared" si="0"/>
        <v>0</v>
      </c>
    </row>
    <row r="32" spans="1:6" s="36" customFormat="1" ht="17.25" customHeight="1">
      <c r="A32" s="135" t="s">
        <v>206</v>
      </c>
      <c r="B32" s="136" t="s">
        <v>21</v>
      </c>
      <c r="C32" s="137" t="s">
        <v>4</v>
      </c>
      <c r="D32" s="152">
        <f>D30*12</f>
        <v>17.910000000000004</v>
      </c>
      <c r="E32" s="336"/>
      <c r="F32" s="139">
        <f t="shared" si="0"/>
        <v>0</v>
      </c>
    </row>
    <row r="33" spans="1:6" s="36" customFormat="1" ht="17.25" customHeight="1">
      <c r="A33" s="135" t="s">
        <v>93</v>
      </c>
      <c r="B33" s="136" t="s">
        <v>207</v>
      </c>
      <c r="C33" s="137" t="s">
        <v>4</v>
      </c>
      <c r="D33" s="152">
        <f>49.75*1.1</f>
        <v>54.725000000000001</v>
      </c>
      <c r="E33" s="336"/>
      <c r="F33" s="139">
        <f t="shared" si="0"/>
        <v>0</v>
      </c>
    </row>
    <row r="34" spans="1:6" s="36" customFormat="1" ht="17.25" customHeight="1">
      <c r="A34" s="135" t="s">
        <v>94</v>
      </c>
      <c r="B34" s="136" t="s">
        <v>208</v>
      </c>
      <c r="C34" s="137"/>
      <c r="D34" s="152"/>
      <c r="E34" s="336"/>
      <c r="F34" s="139"/>
    </row>
    <row r="35" spans="1:6" s="34" customFormat="1" ht="17.25" customHeight="1">
      <c r="A35" s="161" t="s">
        <v>209</v>
      </c>
      <c r="B35" s="162" t="s">
        <v>20</v>
      </c>
      <c r="C35" s="163" t="s">
        <v>10</v>
      </c>
      <c r="D35" s="130">
        <f>12*7.45*0.1</f>
        <v>8.9400000000000013</v>
      </c>
      <c r="E35" s="336"/>
      <c r="F35" s="145">
        <f t="shared" si="0"/>
        <v>0</v>
      </c>
    </row>
    <row r="36" spans="1:6" s="34" customFormat="1" ht="17.25" customHeight="1">
      <c r="A36" s="161"/>
      <c r="B36" s="163"/>
      <c r="C36" s="148"/>
      <c r="D36" s="130"/>
      <c r="E36" s="335"/>
      <c r="F36" s="145"/>
    </row>
    <row r="37" spans="1:6" s="36" customFormat="1" ht="17.25" customHeight="1">
      <c r="A37" s="164" t="s">
        <v>24</v>
      </c>
      <c r="B37" s="165" t="s">
        <v>25</v>
      </c>
      <c r="C37" s="151"/>
      <c r="D37" s="152"/>
      <c r="E37" s="336"/>
      <c r="F37" s="139"/>
    </row>
    <row r="38" spans="1:6" s="36" customFormat="1" ht="17.25" customHeight="1">
      <c r="A38" s="135" t="s">
        <v>26</v>
      </c>
      <c r="B38" s="166" t="s">
        <v>210</v>
      </c>
      <c r="C38" s="137" t="s">
        <v>4</v>
      </c>
      <c r="D38" s="152">
        <f>(3.7*3+7.75*2)*2.57+(7.45+7.4*2)*0.1</f>
        <v>70.586999999999989</v>
      </c>
      <c r="E38" s="336"/>
      <c r="F38" s="139">
        <f>D38*E38</f>
        <v>0</v>
      </c>
    </row>
    <row r="39" spans="1:6" s="36" customFormat="1" ht="17.25" customHeight="1">
      <c r="A39" s="135" t="s">
        <v>154</v>
      </c>
      <c r="B39" s="136" t="s">
        <v>211</v>
      </c>
      <c r="C39" s="137"/>
      <c r="D39" s="152"/>
      <c r="E39" s="336"/>
      <c r="F39" s="139"/>
    </row>
    <row r="40" spans="1:6" s="36" customFormat="1" ht="17.25" customHeight="1">
      <c r="A40" s="135" t="s">
        <v>212</v>
      </c>
      <c r="B40" s="136" t="s">
        <v>20</v>
      </c>
      <c r="C40" s="137" t="s">
        <v>10</v>
      </c>
      <c r="D40" s="152">
        <f>11*0.15*0.15*3.57</f>
        <v>0.88357499999999989</v>
      </c>
      <c r="E40" s="336"/>
      <c r="F40" s="139">
        <f t="shared" ref="F40:F50" si="1">D40*E40</f>
        <v>0</v>
      </c>
    </row>
    <row r="41" spans="1:6" s="36" customFormat="1" ht="17.25" customHeight="1">
      <c r="A41" s="135" t="s">
        <v>213</v>
      </c>
      <c r="B41" s="136" t="s">
        <v>22</v>
      </c>
      <c r="C41" s="137" t="s">
        <v>23</v>
      </c>
      <c r="D41" s="152">
        <f>D40*80</f>
        <v>70.685999999999993</v>
      </c>
      <c r="E41" s="336"/>
      <c r="F41" s="139">
        <f t="shared" si="1"/>
        <v>0</v>
      </c>
    </row>
    <row r="42" spans="1:6" s="36" customFormat="1" ht="17.25" customHeight="1">
      <c r="A42" s="135" t="s">
        <v>214</v>
      </c>
      <c r="B42" s="136" t="s">
        <v>215</v>
      </c>
      <c r="C42" s="137" t="s">
        <v>4</v>
      </c>
      <c r="D42" s="152">
        <v>29.41</v>
      </c>
      <c r="E42" s="336"/>
      <c r="F42" s="139">
        <f t="shared" si="1"/>
        <v>0</v>
      </c>
    </row>
    <row r="43" spans="1:6" s="34" customFormat="1" ht="17.25" customHeight="1">
      <c r="A43" s="161" t="s">
        <v>27</v>
      </c>
      <c r="B43" s="162" t="s">
        <v>216</v>
      </c>
      <c r="C43" s="163"/>
      <c r="D43" s="130"/>
      <c r="E43" s="335"/>
      <c r="F43" s="145"/>
    </row>
    <row r="44" spans="1:6" s="34" customFormat="1" ht="17.25" customHeight="1">
      <c r="A44" s="161" t="s">
        <v>217</v>
      </c>
      <c r="B44" s="162" t="s">
        <v>20</v>
      </c>
      <c r="C44" s="163" t="s">
        <v>10</v>
      </c>
      <c r="D44" s="130">
        <f>D30</f>
        <v>1.4925000000000002</v>
      </c>
      <c r="E44" s="336"/>
      <c r="F44" s="145">
        <f t="shared" si="1"/>
        <v>0</v>
      </c>
    </row>
    <row r="45" spans="1:6" s="34" customFormat="1" ht="17.25" customHeight="1">
      <c r="A45" s="161" t="s">
        <v>218</v>
      </c>
      <c r="B45" s="162" t="s">
        <v>22</v>
      </c>
      <c r="C45" s="163" t="s">
        <v>23</v>
      </c>
      <c r="D45" s="130">
        <f>D44*80</f>
        <v>119.4</v>
      </c>
      <c r="E45" s="336"/>
      <c r="F45" s="145">
        <f t="shared" si="1"/>
        <v>0</v>
      </c>
    </row>
    <row r="46" spans="1:6" s="34" customFormat="1" ht="17.25" customHeight="1">
      <c r="A46" s="161" t="s">
        <v>219</v>
      </c>
      <c r="B46" s="136" t="s">
        <v>215</v>
      </c>
      <c r="C46" s="163" t="s">
        <v>4</v>
      </c>
      <c r="D46" s="130">
        <f>D44*12</f>
        <v>17.910000000000004</v>
      </c>
      <c r="E46" s="336"/>
      <c r="F46" s="145">
        <f t="shared" si="1"/>
        <v>0</v>
      </c>
    </row>
    <row r="47" spans="1:6" s="34" customFormat="1" ht="17.25" customHeight="1">
      <c r="A47" s="161" t="s">
        <v>29</v>
      </c>
      <c r="B47" s="162" t="s">
        <v>220</v>
      </c>
      <c r="C47" s="163"/>
      <c r="D47" s="130"/>
      <c r="E47" s="335"/>
      <c r="F47" s="145"/>
    </row>
    <row r="48" spans="1:6" s="34" customFormat="1" ht="17.25" customHeight="1">
      <c r="A48" s="161" t="s">
        <v>221</v>
      </c>
      <c r="B48" s="162" t="s">
        <v>20</v>
      </c>
      <c r="C48" s="163" t="s">
        <v>10</v>
      </c>
      <c r="D48" s="130">
        <f>1.5*0.5*0.08</f>
        <v>0.06</v>
      </c>
      <c r="E48" s="336"/>
      <c r="F48" s="145">
        <f t="shared" si="1"/>
        <v>0</v>
      </c>
    </row>
    <row r="49" spans="1:6" s="34" customFormat="1" ht="17.25" customHeight="1">
      <c r="A49" s="161" t="s">
        <v>222</v>
      </c>
      <c r="B49" s="162" t="s">
        <v>22</v>
      </c>
      <c r="C49" s="163" t="s">
        <v>23</v>
      </c>
      <c r="D49" s="130">
        <f>D48*80</f>
        <v>4.8</v>
      </c>
      <c r="E49" s="336"/>
      <c r="F49" s="145">
        <f t="shared" si="1"/>
        <v>0</v>
      </c>
    </row>
    <row r="50" spans="1:6" s="34" customFormat="1" ht="17.25" customHeight="1">
      <c r="A50" s="161" t="s">
        <v>223</v>
      </c>
      <c r="B50" s="136" t="s">
        <v>215</v>
      </c>
      <c r="C50" s="163" t="s">
        <v>4</v>
      </c>
      <c r="D50" s="130">
        <f>D48*12</f>
        <v>0.72</v>
      </c>
      <c r="E50" s="336"/>
      <c r="F50" s="145">
        <f t="shared" si="1"/>
        <v>0</v>
      </c>
    </row>
    <row r="51" spans="1:6" s="34" customFormat="1" ht="17.25" customHeight="1">
      <c r="A51" s="161"/>
      <c r="B51" s="163"/>
      <c r="C51" s="163"/>
      <c r="D51" s="130"/>
      <c r="E51" s="335"/>
      <c r="F51" s="145"/>
    </row>
    <row r="52" spans="1:6" s="34" customFormat="1" ht="17.25" customHeight="1">
      <c r="A52" s="161" t="s">
        <v>224</v>
      </c>
      <c r="B52" s="167" t="s">
        <v>33</v>
      </c>
      <c r="C52" s="163"/>
      <c r="D52" s="130"/>
      <c r="E52" s="335"/>
      <c r="F52" s="145"/>
    </row>
    <row r="53" spans="1:6" s="34" customFormat="1" ht="17.25" customHeight="1">
      <c r="A53" s="161" t="s">
        <v>225</v>
      </c>
      <c r="B53" s="162" t="s">
        <v>226</v>
      </c>
      <c r="C53" s="163" t="s">
        <v>4</v>
      </c>
      <c r="D53" s="130">
        <f>D38*2</f>
        <v>141.17399999999998</v>
      </c>
      <c r="E53" s="335"/>
      <c r="F53" s="145">
        <f>D53*E53</f>
        <v>0</v>
      </c>
    </row>
    <row r="54" spans="1:6" s="34" customFormat="1" ht="17.25" customHeight="1">
      <c r="A54" s="161" t="s">
        <v>227</v>
      </c>
      <c r="B54" s="162" t="s">
        <v>228</v>
      </c>
      <c r="C54" s="163" t="s">
        <v>4</v>
      </c>
      <c r="D54" s="130">
        <v>0</v>
      </c>
      <c r="E54" s="335"/>
      <c r="F54" s="145">
        <f t="shared" ref="F54:F62" si="2">D54*E54</f>
        <v>0</v>
      </c>
    </row>
    <row r="55" spans="1:6" s="34" customFormat="1" ht="17.25" customHeight="1">
      <c r="A55" s="161" t="s">
        <v>229</v>
      </c>
      <c r="B55" s="162" t="s">
        <v>230</v>
      </c>
      <c r="C55" s="163" t="s">
        <v>292</v>
      </c>
      <c r="D55" s="130">
        <v>0</v>
      </c>
      <c r="E55" s="335"/>
      <c r="F55" s="145">
        <f t="shared" si="2"/>
        <v>0</v>
      </c>
    </row>
    <row r="56" spans="1:6" s="34" customFormat="1" ht="17.25" customHeight="1">
      <c r="A56" s="159" t="s">
        <v>6</v>
      </c>
      <c r="B56" s="168" t="s">
        <v>34</v>
      </c>
      <c r="C56" s="163"/>
      <c r="D56" s="130"/>
      <c r="E56" s="335"/>
      <c r="F56" s="145"/>
    </row>
    <row r="57" spans="1:6" s="34" customFormat="1" ht="17.25" customHeight="1">
      <c r="A57" s="161" t="s">
        <v>30</v>
      </c>
      <c r="B57" s="168" t="s">
        <v>35</v>
      </c>
      <c r="C57" s="163"/>
      <c r="D57" s="130"/>
      <c r="E57" s="335"/>
      <c r="F57" s="145"/>
    </row>
    <row r="58" spans="1:6" s="34" customFormat="1" ht="17.25" customHeight="1">
      <c r="A58" s="161" t="s">
        <v>231</v>
      </c>
      <c r="B58" s="162" t="s">
        <v>389</v>
      </c>
      <c r="C58" s="163" t="s">
        <v>9</v>
      </c>
      <c r="D58" s="130">
        <v>3</v>
      </c>
      <c r="E58" s="335"/>
      <c r="F58" s="145">
        <f t="shared" si="2"/>
        <v>0</v>
      </c>
    </row>
    <row r="59" spans="1:6" s="34" customFormat="1" ht="17.25" customHeight="1">
      <c r="A59" s="161" t="s">
        <v>31</v>
      </c>
      <c r="B59" s="168" t="s">
        <v>36</v>
      </c>
      <c r="C59" s="163"/>
      <c r="D59" s="130"/>
      <c r="E59" s="335"/>
      <c r="F59" s="145"/>
    </row>
    <row r="60" spans="1:6" s="34" customFormat="1" ht="17.25" customHeight="1">
      <c r="A60" s="161" t="s">
        <v>32</v>
      </c>
      <c r="B60" s="162" t="s">
        <v>64</v>
      </c>
      <c r="C60" s="163" t="s">
        <v>9</v>
      </c>
      <c r="D60" s="130">
        <v>1</v>
      </c>
      <c r="E60" s="335"/>
      <c r="F60" s="145">
        <f t="shared" si="2"/>
        <v>0</v>
      </c>
    </row>
    <row r="61" spans="1:6" s="34" customFormat="1" ht="17.25" customHeight="1">
      <c r="A61" s="161" t="s">
        <v>111</v>
      </c>
      <c r="B61" s="168" t="s">
        <v>232</v>
      </c>
      <c r="C61" s="163"/>
      <c r="D61" s="130"/>
      <c r="E61" s="335"/>
      <c r="F61" s="145"/>
    </row>
    <row r="62" spans="1:6" s="34" customFormat="1" ht="17.25" customHeight="1">
      <c r="A62" s="161" t="s">
        <v>112</v>
      </c>
      <c r="B62" s="169" t="s">
        <v>233</v>
      </c>
      <c r="C62" s="163" t="s">
        <v>9</v>
      </c>
      <c r="D62" s="130">
        <v>1</v>
      </c>
      <c r="E62" s="335"/>
      <c r="F62" s="145">
        <f t="shared" si="2"/>
        <v>0</v>
      </c>
    </row>
    <row r="63" spans="1:6" s="34" customFormat="1" ht="17.25" hidden="1" customHeight="1">
      <c r="A63" s="161" t="s">
        <v>234</v>
      </c>
      <c r="B63" s="170" t="s">
        <v>235</v>
      </c>
      <c r="C63" s="163"/>
      <c r="D63" s="130"/>
      <c r="E63" s="335"/>
      <c r="F63" s="145"/>
    </row>
    <row r="64" spans="1:6" s="34" customFormat="1" ht="17.25" hidden="1" customHeight="1">
      <c r="A64" s="161" t="s">
        <v>236</v>
      </c>
      <c r="B64" s="162" t="s">
        <v>237</v>
      </c>
      <c r="C64" s="163" t="s">
        <v>10</v>
      </c>
      <c r="D64" s="144">
        <v>0</v>
      </c>
      <c r="E64" s="338"/>
      <c r="F64" s="171">
        <v>0</v>
      </c>
    </row>
    <row r="65" spans="1:6" s="34" customFormat="1" ht="17.25" hidden="1" customHeight="1">
      <c r="A65" s="161" t="s">
        <v>238</v>
      </c>
      <c r="B65" s="162" t="s">
        <v>239</v>
      </c>
      <c r="C65" s="163" t="s">
        <v>10</v>
      </c>
      <c r="D65" s="144">
        <v>0</v>
      </c>
      <c r="E65" s="338"/>
      <c r="F65" s="171">
        <v>0</v>
      </c>
    </row>
    <row r="66" spans="1:6" s="34" customFormat="1" ht="17.25" hidden="1" customHeight="1">
      <c r="A66" s="161" t="s">
        <v>240</v>
      </c>
      <c r="B66" s="162" t="s">
        <v>241</v>
      </c>
      <c r="C66" s="163" t="s">
        <v>10</v>
      </c>
      <c r="D66" s="144">
        <v>0</v>
      </c>
      <c r="E66" s="338"/>
      <c r="F66" s="171">
        <v>0</v>
      </c>
    </row>
    <row r="67" spans="1:6" s="34" customFormat="1" ht="17.25" hidden="1" customHeight="1">
      <c r="A67" s="161" t="s">
        <v>242</v>
      </c>
      <c r="B67" s="162" t="s">
        <v>243</v>
      </c>
      <c r="C67" s="163" t="s">
        <v>4</v>
      </c>
      <c r="D67" s="144">
        <v>0</v>
      </c>
      <c r="E67" s="338"/>
      <c r="F67" s="171">
        <v>0</v>
      </c>
    </row>
    <row r="68" spans="1:6" s="34" customFormat="1" ht="17.25" hidden="1" customHeight="1">
      <c r="A68" s="161" t="s">
        <v>244</v>
      </c>
      <c r="B68" s="162" t="s">
        <v>245</v>
      </c>
      <c r="C68" s="163"/>
      <c r="D68" s="130"/>
      <c r="E68" s="335"/>
      <c r="F68" s="145"/>
    </row>
    <row r="69" spans="1:6" s="34" customFormat="1" ht="17.25" hidden="1" customHeight="1">
      <c r="A69" s="161" t="s">
        <v>246</v>
      </c>
      <c r="B69" s="162" t="s">
        <v>20</v>
      </c>
      <c r="C69" s="163" t="s">
        <v>10</v>
      </c>
      <c r="D69" s="144">
        <v>0</v>
      </c>
      <c r="E69" s="338"/>
      <c r="F69" s="171">
        <v>0</v>
      </c>
    </row>
    <row r="70" spans="1:6" s="34" customFormat="1" ht="17.25" hidden="1" customHeight="1">
      <c r="A70" s="161" t="s">
        <v>247</v>
      </c>
      <c r="B70" s="162" t="s">
        <v>248</v>
      </c>
      <c r="C70" s="163" t="s">
        <v>23</v>
      </c>
      <c r="D70" s="144">
        <v>0</v>
      </c>
      <c r="E70" s="338"/>
      <c r="F70" s="171">
        <v>0</v>
      </c>
    </row>
    <row r="71" spans="1:6" s="34" customFormat="1" ht="17.25" hidden="1" customHeight="1">
      <c r="A71" s="161" t="s">
        <v>249</v>
      </c>
      <c r="B71" s="162" t="s">
        <v>103</v>
      </c>
      <c r="C71" s="163" t="s">
        <v>4</v>
      </c>
      <c r="D71" s="144">
        <v>0</v>
      </c>
      <c r="E71" s="338"/>
      <c r="F71" s="171">
        <v>0</v>
      </c>
    </row>
    <row r="72" spans="1:6" s="34" customFormat="1" ht="17.25" hidden="1" customHeight="1">
      <c r="A72" s="161" t="s">
        <v>250</v>
      </c>
      <c r="B72" s="162" t="s">
        <v>251</v>
      </c>
      <c r="C72" s="163" t="s">
        <v>4</v>
      </c>
      <c r="D72" s="144">
        <v>0</v>
      </c>
      <c r="E72" s="338"/>
      <c r="F72" s="171">
        <v>0</v>
      </c>
    </row>
    <row r="73" spans="1:6" s="34" customFormat="1" ht="17.25" customHeight="1">
      <c r="A73" s="161"/>
      <c r="B73" s="154" t="s">
        <v>37</v>
      </c>
      <c r="C73" s="155"/>
      <c r="D73" s="156"/>
      <c r="E73" s="337"/>
      <c r="F73" s="157">
        <f>SUM(F21:F72)</f>
        <v>0</v>
      </c>
    </row>
    <row r="74" spans="1:6" s="34" customFormat="1" ht="15.6">
      <c r="A74" s="161"/>
      <c r="B74" s="172"/>
      <c r="C74" s="129"/>
      <c r="D74" s="144"/>
      <c r="E74" s="334"/>
      <c r="F74" s="145"/>
    </row>
    <row r="75" spans="1:6" s="34" customFormat="1" ht="15.6">
      <c r="A75" s="161"/>
      <c r="B75" s="140" t="s">
        <v>38</v>
      </c>
      <c r="C75" s="141"/>
      <c r="D75" s="142"/>
      <c r="E75" s="333"/>
      <c r="F75" s="143">
        <f>F73+F18</f>
        <v>0</v>
      </c>
    </row>
    <row r="76" spans="1:6" s="34" customFormat="1" ht="15.6">
      <c r="A76" s="161"/>
      <c r="B76" s="173"/>
      <c r="C76" s="129"/>
      <c r="D76" s="144"/>
      <c r="E76" s="334"/>
      <c r="F76" s="145"/>
    </row>
    <row r="77" spans="1:6" s="34" customFormat="1" ht="15.6">
      <c r="A77" s="131" t="s">
        <v>18</v>
      </c>
      <c r="B77" s="132" t="s">
        <v>39</v>
      </c>
      <c r="C77" s="133"/>
      <c r="D77" s="134"/>
      <c r="E77" s="331"/>
      <c r="F77" s="133"/>
    </row>
    <row r="78" spans="1:6" s="34" customFormat="1" ht="15.6">
      <c r="A78" s="161" t="s">
        <v>119</v>
      </c>
      <c r="B78" s="162" t="s">
        <v>120</v>
      </c>
      <c r="C78" s="163"/>
      <c r="D78" s="174"/>
      <c r="E78" s="339"/>
      <c r="F78" s="145"/>
    </row>
    <row r="79" spans="1:6" s="34" customFormat="1" ht="15.6">
      <c r="A79" s="161" t="s">
        <v>121</v>
      </c>
      <c r="B79" s="162" t="s">
        <v>252</v>
      </c>
      <c r="C79" s="163" t="s">
        <v>10</v>
      </c>
      <c r="D79" s="130">
        <f>(13*8)/100</f>
        <v>1.04</v>
      </c>
      <c r="E79" s="339"/>
      <c r="F79" s="145">
        <f t="shared" ref="F79" si="3">D79*E79</f>
        <v>0</v>
      </c>
    </row>
    <row r="80" spans="1:6" s="34" customFormat="1" ht="15.6">
      <c r="A80" s="127"/>
      <c r="B80" s="140" t="s">
        <v>40</v>
      </c>
      <c r="C80" s="141"/>
      <c r="D80" s="142"/>
      <c r="E80" s="333"/>
      <c r="F80" s="143">
        <f>SUM(F79:F79)</f>
        <v>0</v>
      </c>
    </row>
    <row r="81" spans="1:6" s="34" customFormat="1" ht="15.6">
      <c r="A81" s="127"/>
      <c r="B81" s="173"/>
      <c r="C81" s="129"/>
      <c r="D81" s="144"/>
      <c r="E81" s="334"/>
      <c r="F81" s="145"/>
    </row>
    <row r="82" spans="1:6" s="34" customFormat="1" ht="15.6">
      <c r="A82" s="131" t="s">
        <v>41</v>
      </c>
      <c r="B82" s="132" t="s">
        <v>42</v>
      </c>
      <c r="C82" s="133"/>
      <c r="D82" s="134"/>
      <c r="E82" s="331"/>
      <c r="F82" s="133"/>
    </row>
    <row r="83" spans="1:6" s="34" customFormat="1" ht="15.6">
      <c r="A83" s="161" t="s">
        <v>126</v>
      </c>
      <c r="B83" s="162" t="s">
        <v>43</v>
      </c>
      <c r="C83" s="129"/>
      <c r="D83" s="144"/>
      <c r="E83" s="334"/>
      <c r="F83" s="145"/>
    </row>
    <row r="84" spans="1:6" s="34" customFormat="1" ht="15.6">
      <c r="A84" s="161" t="s">
        <v>127</v>
      </c>
      <c r="B84" s="167" t="s">
        <v>44</v>
      </c>
      <c r="C84" s="129"/>
      <c r="D84" s="144"/>
      <c r="E84" s="334"/>
      <c r="F84" s="145"/>
    </row>
    <row r="85" spans="1:6" s="34" customFormat="1" ht="15.6">
      <c r="A85" s="161" t="s">
        <v>149</v>
      </c>
      <c r="B85" s="162" t="s">
        <v>253</v>
      </c>
      <c r="C85" s="163" t="s">
        <v>4</v>
      </c>
      <c r="D85" s="130">
        <f>2*4.5*13</f>
        <v>117</v>
      </c>
      <c r="E85" s="339"/>
      <c r="F85" s="145">
        <f>D85*E85</f>
        <v>0</v>
      </c>
    </row>
    <row r="86" spans="1:6" s="34" customFormat="1" ht="15.6">
      <c r="A86" s="161" t="s">
        <v>128</v>
      </c>
      <c r="B86" s="167" t="s">
        <v>129</v>
      </c>
      <c r="C86" s="163"/>
      <c r="D86" s="130"/>
      <c r="E86" s="339"/>
      <c r="F86" s="145"/>
    </row>
    <row r="87" spans="1:6" s="34" customFormat="1" ht="15.6">
      <c r="A87" s="161" t="s">
        <v>130</v>
      </c>
      <c r="B87" s="162" t="s">
        <v>254</v>
      </c>
      <c r="C87" s="163" t="s">
        <v>7</v>
      </c>
      <c r="D87" s="130">
        <v>13</v>
      </c>
      <c r="E87" s="339"/>
      <c r="F87" s="145">
        <f>D87*E87</f>
        <v>0</v>
      </c>
    </row>
    <row r="88" spans="1:6" s="34" customFormat="1" ht="15.6">
      <c r="A88" s="161" t="s">
        <v>255</v>
      </c>
      <c r="B88" s="167" t="s">
        <v>45</v>
      </c>
      <c r="C88" s="175"/>
      <c r="D88" s="176"/>
      <c r="E88" s="339"/>
      <c r="F88" s="145"/>
    </row>
    <row r="89" spans="1:6" s="34" customFormat="1" ht="15.6">
      <c r="A89" s="161" t="s">
        <v>256</v>
      </c>
      <c r="B89" s="162" t="s">
        <v>257</v>
      </c>
      <c r="C89" s="163" t="s">
        <v>4</v>
      </c>
      <c r="D89" s="130">
        <f>(4*4.5+13*2)*0.3</f>
        <v>13.2</v>
      </c>
      <c r="E89" s="339"/>
      <c r="F89" s="145">
        <f>D89*E89</f>
        <v>0</v>
      </c>
    </row>
    <row r="90" spans="1:6" s="34" customFormat="1" ht="17.25" customHeight="1">
      <c r="A90" s="127"/>
      <c r="B90" s="140" t="s">
        <v>46</v>
      </c>
      <c r="C90" s="141"/>
      <c r="D90" s="142"/>
      <c r="E90" s="333"/>
      <c r="F90" s="143">
        <f>SUM(F85:F89)</f>
        <v>0</v>
      </c>
    </row>
    <row r="91" spans="1:6" s="36" customFormat="1" ht="17.25" customHeight="1">
      <c r="A91" s="177"/>
      <c r="B91" s="178"/>
      <c r="C91" s="179"/>
      <c r="D91" s="180"/>
      <c r="E91" s="340"/>
      <c r="F91" s="139"/>
    </row>
    <row r="92" spans="1:6" s="34" customFormat="1" ht="15.6">
      <c r="A92" s="131" t="s">
        <v>47</v>
      </c>
      <c r="B92" s="132" t="s">
        <v>48</v>
      </c>
      <c r="C92" s="133"/>
      <c r="D92" s="134"/>
      <c r="E92" s="331"/>
      <c r="F92" s="133"/>
    </row>
    <row r="93" spans="1:6" s="34" customFormat="1" ht="15.6">
      <c r="A93" s="181" t="s">
        <v>49</v>
      </c>
      <c r="B93" s="167" t="s">
        <v>51</v>
      </c>
      <c r="C93" s="163"/>
      <c r="D93" s="174"/>
      <c r="E93" s="339"/>
      <c r="F93" s="145"/>
    </row>
    <row r="94" spans="1:6" s="34" customFormat="1" ht="15.6">
      <c r="A94" s="181" t="s">
        <v>50</v>
      </c>
      <c r="B94" s="162" t="s">
        <v>258</v>
      </c>
      <c r="C94" s="163" t="s">
        <v>190</v>
      </c>
      <c r="D94" s="130">
        <v>1</v>
      </c>
      <c r="E94" s="339"/>
      <c r="F94" s="145">
        <f>D94*E94</f>
        <v>0</v>
      </c>
    </row>
    <row r="95" spans="1:6" s="34" customFormat="1" ht="15.6">
      <c r="A95" s="127"/>
      <c r="B95" s="140" t="s">
        <v>52</v>
      </c>
      <c r="C95" s="141"/>
      <c r="D95" s="142"/>
      <c r="E95" s="333"/>
      <c r="F95" s="143">
        <f>SUM(F94)</f>
        <v>0</v>
      </c>
    </row>
    <row r="96" spans="1:6" s="34" customFormat="1" ht="15.6">
      <c r="A96" s="161"/>
      <c r="B96" s="148"/>
      <c r="C96" s="148"/>
      <c r="D96" s="182"/>
      <c r="E96" s="341"/>
      <c r="F96" s="145"/>
    </row>
    <row r="97" spans="1:6" s="34" customFormat="1" ht="15.6">
      <c r="A97" s="131" t="s">
        <v>53</v>
      </c>
      <c r="B97" s="132" t="s">
        <v>259</v>
      </c>
      <c r="C97" s="133"/>
      <c r="D97" s="134"/>
      <c r="E97" s="331"/>
      <c r="F97" s="133"/>
    </row>
    <row r="98" spans="1:6" s="34" customFormat="1" ht="19.8" customHeight="1">
      <c r="A98" s="181" t="s">
        <v>136</v>
      </c>
      <c r="B98" s="183" t="s">
        <v>260</v>
      </c>
      <c r="C98" s="163" t="s">
        <v>4</v>
      </c>
      <c r="D98" s="130">
        <f>8.45*3.9</f>
        <v>32.954999999999998</v>
      </c>
      <c r="E98" s="339"/>
      <c r="F98" s="184">
        <f>D98*E98</f>
        <v>0</v>
      </c>
    </row>
    <row r="99" spans="1:6" s="34" customFormat="1" ht="15.6">
      <c r="A99" s="181" t="s">
        <v>135</v>
      </c>
      <c r="B99" s="185" t="s">
        <v>261</v>
      </c>
      <c r="C99" s="163" t="s">
        <v>7</v>
      </c>
      <c r="D99" s="130">
        <f>49.75*4</f>
        <v>199</v>
      </c>
      <c r="E99" s="339"/>
      <c r="F99" s="145">
        <f>D99*E99</f>
        <v>0</v>
      </c>
    </row>
    <row r="100" spans="1:6" s="34" customFormat="1" ht="15.6">
      <c r="A100" s="181"/>
      <c r="B100" s="185"/>
      <c r="C100" s="129"/>
      <c r="D100" s="144"/>
      <c r="E100" s="334"/>
      <c r="F100" s="145"/>
    </row>
    <row r="101" spans="1:6" s="34" customFormat="1" ht="15.6">
      <c r="A101" s="161"/>
      <c r="B101" s="140" t="s">
        <v>262</v>
      </c>
      <c r="C101" s="186"/>
      <c r="D101" s="142"/>
      <c r="E101" s="333"/>
      <c r="F101" s="143">
        <f>SUM(F98:F100)</f>
        <v>0</v>
      </c>
    </row>
    <row r="102" spans="1:6" s="34" customFormat="1" ht="15.6">
      <c r="A102" s="161"/>
      <c r="B102" s="187"/>
      <c r="C102" s="129"/>
      <c r="D102" s="144"/>
      <c r="E102" s="334"/>
      <c r="F102" s="145"/>
    </row>
    <row r="103" spans="1:6" s="34" customFormat="1" ht="15.6">
      <c r="A103" s="131" t="s">
        <v>72</v>
      </c>
      <c r="B103" s="132" t="s">
        <v>55</v>
      </c>
      <c r="C103" s="133"/>
      <c r="D103" s="134"/>
      <c r="E103" s="331"/>
      <c r="F103" s="133"/>
    </row>
    <row r="104" spans="1:6" s="34" customFormat="1" ht="15.6">
      <c r="A104" s="161" t="s">
        <v>135</v>
      </c>
      <c r="B104" s="167" t="s">
        <v>263</v>
      </c>
      <c r="C104" s="129"/>
      <c r="D104" s="144"/>
      <c r="E104" s="334"/>
      <c r="F104" s="145"/>
    </row>
    <row r="105" spans="1:6" s="34" customFormat="1" ht="15.6">
      <c r="A105" s="161" t="s">
        <v>168</v>
      </c>
      <c r="B105" s="162" t="s">
        <v>264</v>
      </c>
      <c r="C105" s="129"/>
      <c r="D105" s="144"/>
      <c r="E105" s="334"/>
      <c r="F105" s="145"/>
    </row>
    <row r="106" spans="1:6" s="34" customFormat="1" ht="15.6">
      <c r="A106" s="161" t="s">
        <v>265</v>
      </c>
      <c r="B106" s="162" t="s">
        <v>266</v>
      </c>
      <c r="C106" s="163" t="s">
        <v>9</v>
      </c>
      <c r="D106" s="130">
        <v>2</v>
      </c>
      <c r="E106" s="339"/>
      <c r="F106" s="145">
        <f>D106*E106</f>
        <v>0</v>
      </c>
    </row>
    <row r="107" spans="1:6" s="34" customFormat="1" ht="15.6">
      <c r="A107" s="161" t="s">
        <v>267</v>
      </c>
      <c r="B107" s="162" t="s">
        <v>268</v>
      </c>
      <c r="C107" s="163" t="s">
        <v>9</v>
      </c>
      <c r="D107" s="130">
        <v>2</v>
      </c>
      <c r="E107" s="339"/>
      <c r="F107" s="145">
        <f t="shared" ref="F107:F109" si="4">D107*E107</f>
        <v>0</v>
      </c>
    </row>
    <row r="108" spans="1:6" s="34" customFormat="1" ht="15.6">
      <c r="A108" s="161" t="s">
        <v>136</v>
      </c>
      <c r="B108" s="167" t="s">
        <v>269</v>
      </c>
      <c r="C108" s="163"/>
      <c r="D108" s="130"/>
      <c r="E108" s="339"/>
      <c r="F108" s="145"/>
    </row>
    <row r="109" spans="1:6" s="34" customFormat="1" ht="15.6">
      <c r="A109" s="161" t="s">
        <v>169</v>
      </c>
      <c r="B109" s="162" t="s">
        <v>270</v>
      </c>
      <c r="C109" s="163" t="s">
        <v>9</v>
      </c>
      <c r="D109" s="130">
        <v>2</v>
      </c>
      <c r="E109" s="339"/>
      <c r="F109" s="145">
        <f t="shared" si="4"/>
        <v>0</v>
      </c>
    </row>
    <row r="110" spans="1:6" s="34" customFormat="1" ht="15">
      <c r="A110" s="188"/>
      <c r="B110" s="140" t="s">
        <v>56</v>
      </c>
      <c r="C110" s="189"/>
      <c r="D110" s="142"/>
      <c r="E110" s="333"/>
      <c r="F110" s="143">
        <f>SUM(F106:F109)</f>
        <v>0</v>
      </c>
    </row>
    <row r="111" spans="1:6" s="36" customFormat="1" ht="15">
      <c r="A111" s="190"/>
      <c r="B111" s="178"/>
      <c r="C111" s="191"/>
      <c r="D111" s="180"/>
      <c r="E111" s="340"/>
      <c r="F111" s="139"/>
    </row>
    <row r="112" spans="1:6" s="2" customFormat="1" ht="15.6">
      <c r="A112" s="131" t="s">
        <v>54</v>
      </c>
      <c r="B112" s="132" t="s">
        <v>65</v>
      </c>
      <c r="C112" s="133"/>
      <c r="D112" s="134"/>
      <c r="E112" s="331"/>
      <c r="F112" s="133"/>
    </row>
    <row r="113" spans="1:6" s="2" customFormat="1" ht="15.6">
      <c r="A113" s="161" t="s">
        <v>271</v>
      </c>
      <c r="B113" s="192" t="s">
        <v>66</v>
      </c>
      <c r="C113" s="163"/>
      <c r="D113" s="130"/>
      <c r="E113" s="334"/>
      <c r="F113" s="145"/>
    </row>
    <row r="114" spans="1:6" s="2" customFormat="1" ht="18" customHeight="1">
      <c r="A114" s="161" t="s">
        <v>272</v>
      </c>
      <c r="B114" s="193" t="s">
        <v>273</v>
      </c>
      <c r="C114" s="163" t="s">
        <v>4</v>
      </c>
      <c r="D114" s="130">
        <v>5</v>
      </c>
      <c r="E114" s="334"/>
      <c r="F114" s="145">
        <f t="shared" ref="F114:F115" si="5">D114*E114</f>
        <v>0</v>
      </c>
    </row>
    <row r="115" spans="1:6" s="2" customFormat="1" ht="18" customHeight="1">
      <c r="A115" s="161" t="s">
        <v>274</v>
      </c>
      <c r="B115" s="193" t="s">
        <v>275</v>
      </c>
      <c r="C115" s="163" t="s">
        <v>4</v>
      </c>
      <c r="D115" s="130">
        <v>0</v>
      </c>
      <c r="E115" s="334"/>
      <c r="F115" s="145">
        <f t="shared" si="5"/>
        <v>0</v>
      </c>
    </row>
    <row r="116" spans="1:6" s="2" customFormat="1" ht="15">
      <c r="A116" s="188"/>
      <c r="B116" s="140" t="s">
        <v>67</v>
      </c>
      <c r="C116" s="189"/>
      <c r="D116" s="142"/>
      <c r="E116" s="333"/>
      <c r="F116" s="143">
        <f>SUM(F113:F115)</f>
        <v>0</v>
      </c>
    </row>
    <row r="117" spans="1:6" s="34" customFormat="1" ht="15">
      <c r="A117" s="188"/>
      <c r="B117" s="307"/>
      <c r="C117" s="194"/>
      <c r="D117" s="144"/>
      <c r="E117" s="334"/>
      <c r="F117" s="145"/>
    </row>
    <row r="118" spans="1:6" s="34" customFormat="1" ht="15.6">
      <c r="A118" s="131" t="s">
        <v>73</v>
      </c>
      <c r="B118" s="132" t="s">
        <v>11</v>
      </c>
      <c r="C118" s="133"/>
      <c r="D118" s="134"/>
      <c r="E118" s="331"/>
      <c r="F118" s="133"/>
    </row>
    <row r="119" spans="1:6" s="34" customFormat="1" ht="15.6">
      <c r="A119" s="161" t="s">
        <v>148</v>
      </c>
      <c r="B119" s="195" t="s">
        <v>62</v>
      </c>
      <c r="C119" s="163"/>
      <c r="D119" s="174"/>
      <c r="E119" s="339"/>
      <c r="F119" s="145"/>
    </row>
    <row r="120" spans="1:6" s="34" customFormat="1" ht="15.6">
      <c r="A120" s="161" t="s">
        <v>170</v>
      </c>
      <c r="B120" s="162" t="s">
        <v>276</v>
      </c>
      <c r="C120" s="163" t="s">
        <v>4</v>
      </c>
      <c r="D120" s="130">
        <f>(7.45*3.57+3.55*3.57*2)+(7.4*2*1+7.45*1)</f>
        <v>74.1935</v>
      </c>
      <c r="E120" s="339"/>
      <c r="F120" s="145">
        <f t="shared" ref="F120:F126" si="6">D120*E120</f>
        <v>0</v>
      </c>
    </row>
    <row r="121" spans="1:6" s="34" customFormat="1" ht="15.6">
      <c r="A121" s="161" t="s">
        <v>277</v>
      </c>
      <c r="B121" s="162" t="s">
        <v>278</v>
      </c>
      <c r="C121" s="163" t="s">
        <v>4</v>
      </c>
      <c r="D121" s="130">
        <f>49.75*1</f>
        <v>49.75</v>
      </c>
      <c r="E121" s="339"/>
      <c r="F121" s="145">
        <f t="shared" si="6"/>
        <v>0</v>
      </c>
    </row>
    <row r="122" spans="1:6" s="34" customFormat="1" ht="15.6">
      <c r="A122" s="161" t="s">
        <v>279</v>
      </c>
      <c r="B122" s="167" t="s">
        <v>63</v>
      </c>
      <c r="C122" s="163"/>
      <c r="D122" s="130"/>
      <c r="E122" s="339"/>
      <c r="F122" s="145"/>
    </row>
    <row r="123" spans="1:6" s="34" customFormat="1" ht="15.6">
      <c r="A123" s="161" t="s">
        <v>280</v>
      </c>
      <c r="B123" s="162" t="s">
        <v>281</v>
      </c>
      <c r="C123" s="163" t="s">
        <v>4</v>
      </c>
      <c r="D123" s="130">
        <f>D120+3.4*3*2</f>
        <v>94.593500000000006</v>
      </c>
      <c r="E123" s="339"/>
      <c r="F123" s="145">
        <f t="shared" si="6"/>
        <v>0</v>
      </c>
    </row>
    <row r="124" spans="1:6" s="34" customFormat="1" ht="15.6">
      <c r="A124" s="161" t="s">
        <v>282</v>
      </c>
      <c r="B124" s="162" t="s">
        <v>283</v>
      </c>
      <c r="C124" s="163" t="s">
        <v>4</v>
      </c>
      <c r="D124" s="130">
        <f>D98+1.5</f>
        <v>34.454999999999998</v>
      </c>
      <c r="E124" s="339"/>
      <c r="F124" s="145">
        <f t="shared" si="6"/>
        <v>0</v>
      </c>
    </row>
    <row r="125" spans="1:6" s="34" customFormat="1" ht="15.6">
      <c r="A125" s="181" t="s">
        <v>284</v>
      </c>
      <c r="B125" s="167" t="s">
        <v>57</v>
      </c>
      <c r="C125" s="163"/>
      <c r="D125" s="130"/>
      <c r="E125" s="339"/>
      <c r="F125" s="145"/>
    </row>
    <row r="126" spans="1:6" s="34" customFormat="1" ht="15.6">
      <c r="A126" s="181" t="s">
        <v>285</v>
      </c>
      <c r="B126" s="162" t="s">
        <v>286</v>
      </c>
      <c r="C126" s="163" t="s">
        <v>4</v>
      </c>
      <c r="D126" s="130">
        <f>0.9*2.1*2*2+0.9*4</f>
        <v>11.16</v>
      </c>
      <c r="E126" s="339"/>
      <c r="F126" s="145">
        <f t="shared" si="6"/>
        <v>0</v>
      </c>
    </row>
    <row r="127" spans="1:6" s="34" customFormat="1" ht="15">
      <c r="A127" s="188"/>
      <c r="B127" s="140" t="s">
        <v>58</v>
      </c>
      <c r="C127" s="189"/>
      <c r="D127" s="142"/>
      <c r="E127" s="333"/>
      <c r="F127" s="143">
        <f>SUM(F120:F126)</f>
        <v>0</v>
      </c>
    </row>
    <row r="128" spans="1:6" s="34" customFormat="1" ht="15">
      <c r="A128" s="356"/>
      <c r="B128" s="357"/>
      <c r="C128" s="357"/>
      <c r="D128" s="357"/>
      <c r="E128" s="357"/>
      <c r="F128" s="357"/>
    </row>
    <row r="129" spans="1:6" s="34" customFormat="1" ht="20.25" customHeight="1">
      <c r="A129" s="353" t="s">
        <v>287</v>
      </c>
      <c r="B129" s="354"/>
      <c r="C129" s="354"/>
      <c r="D129" s="387"/>
      <c r="E129" s="300"/>
      <c r="F129" s="196">
        <f>F127+F110+F101+F95+F90+F80+F75+F116+F11</f>
        <v>0</v>
      </c>
    </row>
    <row r="130" spans="1:6" s="34" customFormat="1" ht="15">
      <c r="A130" s="356"/>
      <c r="B130" s="357"/>
      <c r="C130" s="357"/>
      <c r="D130" s="357"/>
      <c r="E130" s="357"/>
      <c r="F130" s="357"/>
    </row>
    <row r="131" spans="1:6" s="34" customFormat="1" ht="20.25" customHeight="1">
      <c r="A131" s="353" t="s">
        <v>384</v>
      </c>
      <c r="B131" s="354"/>
      <c r="C131" s="354"/>
      <c r="D131" s="301">
        <v>0.15</v>
      </c>
      <c r="E131" s="300"/>
      <c r="F131" s="196">
        <f>F129*D131</f>
        <v>0</v>
      </c>
    </row>
    <row r="132" spans="1:6" s="34" customFormat="1" ht="15">
      <c r="A132" s="350"/>
      <c r="B132" s="351"/>
      <c r="C132" s="352"/>
      <c r="D132" s="352"/>
      <c r="E132" s="352"/>
      <c r="F132" s="352"/>
    </row>
    <row r="133" spans="1:6" s="34" customFormat="1" ht="24.75" customHeight="1">
      <c r="A133" s="350" t="s">
        <v>288</v>
      </c>
      <c r="B133" s="351"/>
      <c r="C133" s="352"/>
      <c r="D133" s="352"/>
      <c r="E133" s="388">
        <f>F129+F131</f>
        <v>0</v>
      </c>
      <c r="F133" s="388"/>
    </row>
    <row r="134" spans="1:6" s="34" customFormat="1" ht="15.6">
      <c r="A134" s="108"/>
      <c r="B134" s="108"/>
      <c r="C134" s="109"/>
      <c r="D134" s="110"/>
      <c r="E134" s="109"/>
      <c r="F134" s="109"/>
    </row>
  </sheetData>
  <sheetProtection selectLockedCells="1"/>
  <mergeCells count="9">
    <mergeCell ref="A132:F132"/>
    <mergeCell ref="A133:D133"/>
    <mergeCell ref="E133:F133"/>
    <mergeCell ref="A1:F1"/>
    <mergeCell ref="A3:F3"/>
    <mergeCell ref="A128:F128"/>
    <mergeCell ref="A129:C129"/>
    <mergeCell ref="A130:F130"/>
    <mergeCell ref="A131:C131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80AF-9A0D-4E3A-A0CB-A7BC687B634A}">
  <dimension ref="A1:F110"/>
  <sheetViews>
    <sheetView view="pageBreakPreview" zoomScale="90" zoomScaleNormal="100" zoomScaleSheetLayoutView="90" workbookViewId="0">
      <selection activeCell="H7" sqref="H7"/>
    </sheetView>
  </sheetViews>
  <sheetFormatPr baseColWidth="10" defaultRowHeight="14.4"/>
  <cols>
    <col min="1" max="1" width="11.5546875" style="203"/>
    <col min="2" max="2" width="61.21875" style="203" bestFit="1" customWidth="1"/>
    <col min="3" max="3" width="8.6640625" style="203" customWidth="1"/>
    <col min="4" max="4" width="11.5546875" style="204"/>
    <col min="5" max="5" width="13.21875" style="205" customWidth="1"/>
    <col min="6" max="6" width="20.5546875" style="203" customWidth="1"/>
    <col min="7" max="16384" width="11.5546875" style="203"/>
  </cols>
  <sheetData>
    <row r="1" spans="1:6" ht="95.4" customHeight="1">
      <c r="A1" s="349"/>
      <c r="B1" s="349"/>
      <c r="C1" s="349"/>
      <c r="D1" s="349"/>
      <c r="E1" s="349"/>
      <c r="F1" s="349"/>
    </row>
    <row r="2" spans="1:6" ht="15" thickBot="1">
      <c r="E2" s="389"/>
    </row>
    <row r="3" spans="1:6" s="206" customFormat="1" ht="25.8" customHeight="1" thickBot="1">
      <c r="A3" s="390" t="s">
        <v>375</v>
      </c>
      <c r="B3" s="391"/>
      <c r="C3" s="391"/>
      <c r="D3" s="391"/>
      <c r="E3" s="391"/>
      <c r="F3" s="392"/>
    </row>
    <row r="4" spans="1:6" s="211" customFormat="1" ht="41.4">
      <c r="A4" s="207" t="s">
        <v>12</v>
      </c>
      <c r="B4" s="393" t="s">
        <v>8</v>
      </c>
      <c r="C4" s="208" t="s">
        <v>0</v>
      </c>
      <c r="D4" s="209" t="s">
        <v>2</v>
      </c>
      <c r="E4" s="210" t="s">
        <v>3</v>
      </c>
      <c r="F4" s="208" t="s">
        <v>1</v>
      </c>
    </row>
    <row r="5" spans="1:6" s="206" customFormat="1" ht="15">
      <c r="A5" s="212"/>
      <c r="B5" s="213"/>
      <c r="C5" s="214"/>
      <c r="D5" s="215"/>
      <c r="E5" s="216"/>
      <c r="F5" s="217"/>
    </row>
    <row r="6" spans="1:6" s="206" customFormat="1" ht="18" customHeight="1">
      <c r="A6" s="218" t="s">
        <v>13</v>
      </c>
      <c r="B6" s="219" t="s">
        <v>296</v>
      </c>
      <c r="C6" s="220"/>
      <c r="D6" s="221"/>
      <c r="E6" s="222"/>
      <c r="F6" s="223"/>
    </row>
    <row r="7" spans="1:6" s="206" customFormat="1" ht="18" customHeight="1">
      <c r="A7" s="224"/>
      <c r="B7" s="225"/>
      <c r="C7" s="226"/>
      <c r="D7" s="215"/>
      <c r="E7" s="216"/>
      <c r="F7" s="227"/>
    </row>
    <row r="8" spans="1:6" s="206" customFormat="1" ht="18" customHeight="1">
      <c r="A8" s="228" t="s">
        <v>5</v>
      </c>
      <c r="B8" s="229" t="s">
        <v>359</v>
      </c>
      <c r="C8" s="226"/>
      <c r="D8" s="215"/>
      <c r="E8" s="216"/>
      <c r="F8" s="227"/>
    </row>
    <row r="9" spans="1:6" s="206" customFormat="1" ht="18" customHeight="1">
      <c r="A9" s="224" t="s">
        <v>297</v>
      </c>
      <c r="B9" s="230" t="s">
        <v>298</v>
      </c>
      <c r="C9" s="226" t="s">
        <v>10</v>
      </c>
      <c r="D9" s="215">
        <f>3*3.5*3</f>
        <v>31.5</v>
      </c>
      <c r="E9" s="216"/>
      <c r="F9" s="227">
        <f>D9*E9</f>
        <v>0</v>
      </c>
    </row>
    <row r="10" spans="1:6" s="206" customFormat="1" ht="18" customHeight="1">
      <c r="A10" s="224" t="s">
        <v>299</v>
      </c>
      <c r="B10" s="230" t="s">
        <v>300</v>
      </c>
      <c r="C10" s="226" t="s">
        <v>10</v>
      </c>
      <c r="D10" s="215">
        <v>5</v>
      </c>
      <c r="E10" s="216"/>
      <c r="F10" s="227">
        <f t="shared" ref="F10" si="0">D10*E10</f>
        <v>0</v>
      </c>
    </row>
    <row r="11" spans="1:6" s="206" customFormat="1" ht="18" customHeight="1">
      <c r="A11" s="231"/>
      <c r="B11" s="232" t="s">
        <v>301</v>
      </c>
      <c r="C11" s="233"/>
      <c r="D11" s="234"/>
      <c r="E11" s="235"/>
      <c r="F11" s="236">
        <f>SUM(F9:F10)</f>
        <v>0</v>
      </c>
    </row>
    <row r="12" spans="1:6" s="206" customFormat="1" ht="9.6" customHeight="1">
      <c r="A12" s="224"/>
      <c r="B12" s="225"/>
      <c r="C12" s="226"/>
      <c r="D12" s="215"/>
      <c r="E12" s="216"/>
      <c r="F12" s="227"/>
    </row>
    <row r="13" spans="1:6" s="206" customFormat="1" ht="17.399999999999999">
      <c r="A13" s="212"/>
      <c r="B13" s="237" t="s">
        <v>302</v>
      </c>
      <c r="C13" s="238"/>
      <c r="D13" s="239"/>
      <c r="E13" s="240"/>
      <c r="F13" s="241">
        <f>F11</f>
        <v>0</v>
      </c>
    </row>
    <row r="14" spans="1:6" s="206" customFormat="1" ht="15">
      <c r="A14" s="212"/>
      <c r="B14" s="213"/>
      <c r="C14" s="214"/>
      <c r="D14" s="242"/>
      <c r="E14" s="243"/>
      <c r="F14" s="227"/>
    </row>
    <row r="15" spans="1:6" s="206" customFormat="1" ht="15.6">
      <c r="A15" s="218" t="s">
        <v>14</v>
      </c>
      <c r="B15" s="219" t="s">
        <v>15</v>
      </c>
      <c r="C15" s="220"/>
      <c r="D15" s="221"/>
      <c r="E15" s="222"/>
      <c r="F15" s="223"/>
    </row>
    <row r="16" spans="1:6" s="206" customFormat="1" ht="17.25" customHeight="1">
      <c r="A16" s="224"/>
      <c r="B16" s="225"/>
      <c r="C16" s="226"/>
      <c r="D16" s="215"/>
      <c r="E16" s="244"/>
      <c r="F16" s="227"/>
    </row>
    <row r="17" spans="1:6" s="206" customFormat="1" ht="17.25" customHeight="1">
      <c r="A17" s="224" t="s">
        <v>79</v>
      </c>
      <c r="B17" s="229" t="s">
        <v>303</v>
      </c>
      <c r="C17" s="226"/>
      <c r="D17" s="215"/>
      <c r="E17" s="243"/>
      <c r="F17" s="227"/>
    </row>
    <row r="18" spans="1:6" s="206" customFormat="1" ht="15.6">
      <c r="A18" s="224" t="s">
        <v>304</v>
      </c>
      <c r="B18" s="245" t="s">
        <v>19</v>
      </c>
      <c r="C18" s="226"/>
      <c r="D18" s="215"/>
      <c r="E18" s="243"/>
      <c r="F18" s="227"/>
    </row>
    <row r="19" spans="1:6" s="206" customFormat="1" ht="18" customHeight="1">
      <c r="A19" s="224" t="s">
        <v>305</v>
      </c>
      <c r="B19" s="230" t="s">
        <v>306</v>
      </c>
      <c r="C19" s="226" t="s">
        <v>4</v>
      </c>
      <c r="D19" s="215">
        <f>(2*4+3*2)*2.85</f>
        <v>39.9</v>
      </c>
      <c r="E19" s="216"/>
      <c r="F19" s="227">
        <f t="shared" ref="F19" si="1">D19*E19</f>
        <v>0</v>
      </c>
    </row>
    <row r="20" spans="1:6" s="206" customFormat="1" ht="18" customHeight="1">
      <c r="A20" s="224" t="s">
        <v>307</v>
      </c>
      <c r="B20" s="230" t="s">
        <v>308</v>
      </c>
      <c r="C20" s="226"/>
      <c r="D20" s="215"/>
      <c r="E20" s="216"/>
      <c r="F20" s="227"/>
    </row>
    <row r="21" spans="1:6" s="206" customFormat="1" ht="18" customHeight="1">
      <c r="A21" s="224"/>
      <c r="B21" s="230" t="s">
        <v>20</v>
      </c>
      <c r="C21" s="226" t="s">
        <v>10</v>
      </c>
      <c r="D21" s="215">
        <f>4*0.15*0.2*2.85</f>
        <v>0.34199999999999997</v>
      </c>
      <c r="E21" s="216"/>
      <c r="F21" s="227">
        <f t="shared" ref="F21:F24" si="2">D21*E21</f>
        <v>0</v>
      </c>
    </row>
    <row r="22" spans="1:6" s="206" customFormat="1" ht="18" customHeight="1">
      <c r="A22" s="224"/>
      <c r="B22" s="230" t="s">
        <v>61</v>
      </c>
      <c r="C22" s="226" t="s">
        <v>23</v>
      </c>
      <c r="D22" s="215">
        <f>D21*70</f>
        <v>23.939999999999998</v>
      </c>
      <c r="E22" s="216"/>
      <c r="F22" s="227">
        <f t="shared" si="2"/>
        <v>0</v>
      </c>
    </row>
    <row r="23" spans="1:6" s="206" customFormat="1" ht="18" customHeight="1">
      <c r="A23" s="224"/>
      <c r="B23" s="230" t="s">
        <v>21</v>
      </c>
      <c r="C23" s="226" t="s">
        <v>4</v>
      </c>
      <c r="D23" s="215">
        <f>D21*12</f>
        <v>4.1039999999999992</v>
      </c>
      <c r="E23" s="216"/>
      <c r="F23" s="227">
        <f t="shared" si="2"/>
        <v>0</v>
      </c>
    </row>
    <row r="24" spans="1:6" s="206" customFormat="1" ht="18" customHeight="1">
      <c r="A24" s="224"/>
      <c r="B24" s="230" t="s">
        <v>360</v>
      </c>
      <c r="C24" s="226" t="s">
        <v>4</v>
      </c>
      <c r="D24" s="215">
        <f>(2*6+3*2)*2.85</f>
        <v>51.300000000000004</v>
      </c>
      <c r="E24" s="216"/>
      <c r="F24" s="227">
        <f t="shared" si="2"/>
        <v>0</v>
      </c>
    </row>
    <row r="25" spans="1:6" s="206" customFormat="1" ht="18" customHeight="1">
      <c r="A25" s="224" t="s">
        <v>309</v>
      </c>
      <c r="B25" s="246" t="s">
        <v>310</v>
      </c>
      <c r="C25" s="226"/>
      <c r="D25" s="215"/>
      <c r="E25" s="216"/>
      <c r="F25" s="227"/>
    </row>
    <row r="26" spans="1:6" s="206" customFormat="1" ht="18" customHeight="1">
      <c r="A26" s="224"/>
      <c r="B26" s="230" t="s">
        <v>20</v>
      </c>
      <c r="C26" s="226" t="s">
        <v>10</v>
      </c>
      <c r="D26" s="215">
        <f>2*3.5*0.1</f>
        <v>0.70000000000000007</v>
      </c>
      <c r="E26" s="216"/>
      <c r="F26" s="227">
        <f t="shared" ref="F26:F27" si="3">D26*E26</f>
        <v>0</v>
      </c>
    </row>
    <row r="27" spans="1:6" s="206" customFormat="1" ht="18" customHeight="1">
      <c r="A27" s="224"/>
      <c r="B27" s="230" t="s">
        <v>311</v>
      </c>
      <c r="C27" s="226" t="s">
        <v>23</v>
      </c>
      <c r="D27" s="215">
        <f>D26*12</f>
        <v>8.4</v>
      </c>
      <c r="E27" s="216"/>
      <c r="F27" s="227">
        <f t="shared" si="3"/>
        <v>0</v>
      </c>
    </row>
    <row r="28" spans="1:6" s="206" customFormat="1" ht="18" customHeight="1">
      <c r="A28" s="224" t="s">
        <v>312</v>
      </c>
      <c r="B28" s="246" t="s">
        <v>361</v>
      </c>
      <c r="C28" s="226"/>
      <c r="D28" s="215"/>
      <c r="E28" s="216"/>
      <c r="F28" s="227"/>
    </row>
    <row r="29" spans="1:6" s="206" customFormat="1" ht="18" customHeight="1">
      <c r="A29" s="224"/>
      <c r="B29" s="230" t="s">
        <v>313</v>
      </c>
      <c r="C29" s="226" t="s">
        <v>10</v>
      </c>
      <c r="D29" s="215">
        <f>2*3.5*0.1</f>
        <v>0.70000000000000007</v>
      </c>
      <c r="E29" s="216"/>
      <c r="F29" s="227">
        <f t="shared" ref="F29:F31" si="4">D29*E29</f>
        <v>0</v>
      </c>
    </row>
    <row r="30" spans="1:6" s="206" customFormat="1" ht="18" customHeight="1">
      <c r="A30" s="224"/>
      <c r="B30" s="230" t="s">
        <v>314</v>
      </c>
      <c r="C30" s="226" t="s">
        <v>23</v>
      </c>
      <c r="D30" s="215">
        <f>D29*80</f>
        <v>56.000000000000007</v>
      </c>
      <c r="E30" s="216"/>
      <c r="F30" s="227">
        <f t="shared" si="4"/>
        <v>0</v>
      </c>
    </row>
    <row r="31" spans="1:6" s="206" customFormat="1" ht="18" customHeight="1">
      <c r="A31" s="224"/>
      <c r="B31" s="230" t="s">
        <v>315</v>
      </c>
      <c r="C31" s="226" t="s">
        <v>4</v>
      </c>
      <c r="D31" s="215">
        <f>D29*12</f>
        <v>8.4</v>
      </c>
      <c r="E31" s="216"/>
      <c r="F31" s="227">
        <f t="shared" si="4"/>
        <v>0</v>
      </c>
    </row>
    <row r="32" spans="1:6" s="206" customFormat="1" ht="17.25" customHeight="1">
      <c r="A32" s="224" t="s">
        <v>316</v>
      </c>
      <c r="B32" s="247" t="s">
        <v>25</v>
      </c>
      <c r="C32" s="248"/>
      <c r="D32" s="249"/>
      <c r="E32" s="244"/>
      <c r="F32" s="227"/>
    </row>
    <row r="33" spans="1:6" s="278" customFormat="1" ht="23.4" customHeight="1">
      <c r="A33" s="305" t="s">
        <v>317</v>
      </c>
      <c r="B33" s="394" t="s">
        <v>395</v>
      </c>
      <c r="C33" s="265" t="s">
        <v>4</v>
      </c>
      <c r="D33" s="242">
        <v>45</v>
      </c>
      <c r="E33" s="244"/>
      <c r="F33" s="227">
        <f t="shared" ref="F33:F37" si="5">D33*E33</f>
        <v>0</v>
      </c>
    </row>
    <row r="34" spans="1:6" s="206" customFormat="1" ht="17.25" customHeight="1">
      <c r="A34" s="224" t="s">
        <v>318</v>
      </c>
      <c r="B34" s="246" t="s">
        <v>319</v>
      </c>
      <c r="C34" s="226"/>
      <c r="D34" s="215"/>
      <c r="E34" s="244"/>
      <c r="F34" s="227"/>
    </row>
    <row r="35" spans="1:6" s="206" customFormat="1" ht="17.25" customHeight="1">
      <c r="A35" s="224"/>
      <c r="B35" s="230" t="s">
        <v>20</v>
      </c>
      <c r="C35" s="226" t="s">
        <v>10</v>
      </c>
      <c r="D35" s="215">
        <f>0.15*0.15*4*2.5</f>
        <v>0.22499999999999998</v>
      </c>
      <c r="E35" s="244"/>
      <c r="F35" s="227">
        <f t="shared" si="5"/>
        <v>0</v>
      </c>
    </row>
    <row r="36" spans="1:6" s="206" customFormat="1" ht="17.25" customHeight="1">
      <c r="A36" s="224"/>
      <c r="B36" s="230" t="s">
        <v>22</v>
      </c>
      <c r="C36" s="226" t="s">
        <v>23</v>
      </c>
      <c r="D36" s="215">
        <f>D35*80</f>
        <v>18</v>
      </c>
      <c r="E36" s="244"/>
      <c r="F36" s="227">
        <f t="shared" si="5"/>
        <v>0</v>
      </c>
    </row>
    <row r="37" spans="1:6" s="206" customFormat="1" ht="17.25" customHeight="1">
      <c r="A37" s="224"/>
      <c r="B37" s="230" t="s">
        <v>21</v>
      </c>
      <c r="C37" s="226" t="s">
        <v>4</v>
      </c>
      <c r="D37" s="215">
        <f>D35*12</f>
        <v>2.6999999999999997</v>
      </c>
      <c r="E37" s="244"/>
      <c r="F37" s="227">
        <f t="shared" si="5"/>
        <v>0</v>
      </c>
    </row>
    <row r="38" spans="1:6" s="206" customFormat="1" ht="17.25" customHeight="1">
      <c r="A38" s="224" t="s">
        <v>320</v>
      </c>
      <c r="B38" s="246" t="s">
        <v>321</v>
      </c>
      <c r="C38" s="226"/>
      <c r="D38" s="215"/>
      <c r="E38" s="244"/>
      <c r="F38" s="227"/>
    </row>
    <row r="39" spans="1:6" s="206" customFormat="1" ht="17.25" customHeight="1">
      <c r="A39" s="224"/>
      <c r="B39" s="230" t="s">
        <v>20</v>
      </c>
      <c r="C39" s="226" t="s">
        <v>10</v>
      </c>
      <c r="D39" s="215">
        <f>14*0.2*0.2</f>
        <v>0.56000000000000005</v>
      </c>
      <c r="E39" s="244"/>
      <c r="F39" s="227">
        <f t="shared" ref="F39:F49" si="6">D39*E39</f>
        <v>0</v>
      </c>
    </row>
    <row r="40" spans="1:6" s="206" customFormat="1" ht="17.25" customHeight="1">
      <c r="A40" s="224"/>
      <c r="B40" s="230" t="s">
        <v>22</v>
      </c>
      <c r="C40" s="226" t="s">
        <v>23</v>
      </c>
      <c r="D40" s="215">
        <f>D39*80</f>
        <v>44.800000000000004</v>
      </c>
      <c r="E40" s="244"/>
      <c r="F40" s="227">
        <f t="shared" si="6"/>
        <v>0</v>
      </c>
    </row>
    <row r="41" spans="1:6" s="206" customFormat="1" ht="17.25" customHeight="1">
      <c r="A41" s="224"/>
      <c r="B41" s="230" t="s">
        <v>21</v>
      </c>
      <c r="C41" s="226" t="s">
        <v>4</v>
      </c>
      <c r="D41" s="215">
        <f>D39*12</f>
        <v>6.7200000000000006</v>
      </c>
      <c r="E41" s="244"/>
      <c r="F41" s="227">
        <f t="shared" si="6"/>
        <v>0</v>
      </c>
    </row>
    <row r="42" spans="1:6" s="206" customFormat="1" ht="17.25" customHeight="1">
      <c r="A42" s="224" t="s">
        <v>322</v>
      </c>
      <c r="B42" s="230" t="s">
        <v>33</v>
      </c>
      <c r="C42" s="226"/>
      <c r="D42" s="215"/>
      <c r="E42" s="244"/>
      <c r="F42" s="227"/>
    </row>
    <row r="43" spans="1:6" s="206" customFormat="1" ht="17.25" customHeight="1">
      <c r="A43" s="224"/>
      <c r="B43" s="230" t="s">
        <v>323</v>
      </c>
      <c r="C43" s="226" t="s">
        <v>4</v>
      </c>
      <c r="D43" s="215">
        <f>(D33*2)-(0.7*2.2*3+0.6*0.6*3)</f>
        <v>84.3</v>
      </c>
      <c r="E43" s="244"/>
      <c r="F43" s="227">
        <f t="shared" si="6"/>
        <v>0</v>
      </c>
    </row>
    <row r="44" spans="1:6" s="206" customFormat="1" ht="17.25" customHeight="1">
      <c r="A44" s="224" t="s">
        <v>324</v>
      </c>
      <c r="B44" s="230" t="s">
        <v>325</v>
      </c>
      <c r="C44" s="226" t="s">
        <v>326</v>
      </c>
      <c r="D44" s="215">
        <f>0.6*0.6*3</f>
        <v>1.08</v>
      </c>
      <c r="E44" s="244"/>
      <c r="F44" s="227">
        <f t="shared" si="6"/>
        <v>0</v>
      </c>
    </row>
    <row r="45" spans="1:6" s="206" customFormat="1" ht="17.25" customHeight="1">
      <c r="A45" s="224" t="s">
        <v>327</v>
      </c>
      <c r="B45" s="250" t="s">
        <v>34</v>
      </c>
      <c r="C45" s="226"/>
      <c r="D45" s="215"/>
      <c r="E45" s="244"/>
      <c r="F45" s="227"/>
    </row>
    <row r="46" spans="1:6" s="206" customFormat="1" ht="17.25" customHeight="1">
      <c r="A46" s="224" t="s">
        <v>17</v>
      </c>
      <c r="B46" s="250" t="s">
        <v>35</v>
      </c>
      <c r="C46" s="226"/>
      <c r="D46" s="215"/>
      <c r="E46" s="244"/>
      <c r="F46" s="227"/>
    </row>
    <row r="47" spans="1:6" s="206" customFormat="1" ht="17.25" customHeight="1">
      <c r="A47" s="224" t="s">
        <v>86</v>
      </c>
      <c r="B47" s="230" t="s">
        <v>328</v>
      </c>
      <c r="C47" s="226" t="s">
        <v>9</v>
      </c>
      <c r="D47" s="215">
        <v>2</v>
      </c>
      <c r="E47" s="244"/>
      <c r="F47" s="227">
        <f t="shared" si="6"/>
        <v>0</v>
      </c>
    </row>
    <row r="48" spans="1:6" s="206" customFormat="1" ht="17.25" hidden="1" customHeight="1">
      <c r="A48" s="224" t="s">
        <v>31</v>
      </c>
      <c r="B48" s="250" t="s">
        <v>36</v>
      </c>
      <c r="C48" s="226"/>
      <c r="D48" s="215"/>
      <c r="E48" s="244"/>
      <c r="F48" s="227"/>
    </row>
    <row r="49" spans="1:6" s="206" customFormat="1" ht="17.25" hidden="1" customHeight="1">
      <c r="A49" s="224" t="s">
        <v>32</v>
      </c>
      <c r="B49" s="230" t="s">
        <v>64</v>
      </c>
      <c r="C49" s="226" t="s">
        <v>9</v>
      </c>
      <c r="D49" s="215">
        <v>0</v>
      </c>
      <c r="E49" s="244"/>
      <c r="F49" s="227">
        <f t="shared" si="6"/>
        <v>0</v>
      </c>
    </row>
    <row r="50" spans="1:6" s="206" customFormat="1" ht="17.25" customHeight="1">
      <c r="A50" s="231"/>
      <c r="B50" s="251" t="s">
        <v>37</v>
      </c>
      <c r="C50" s="252"/>
      <c r="D50" s="253"/>
      <c r="E50" s="254"/>
      <c r="F50" s="236">
        <f>SUM(F19:F49)</f>
        <v>0</v>
      </c>
    </row>
    <row r="51" spans="1:6" s="206" customFormat="1" ht="15.6">
      <c r="A51" s="224"/>
      <c r="B51" s="255"/>
      <c r="C51" s="214"/>
      <c r="D51" s="242"/>
      <c r="E51" s="243"/>
      <c r="F51" s="227"/>
    </row>
    <row r="52" spans="1:6" s="206" customFormat="1" ht="18.600000000000001" customHeight="1">
      <c r="A52" s="224"/>
      <c r="B52" s="256" t="s">
        <v>38</v>
      </c>
      <c r="C52" s="238"/>
      <c r="D52" s="239"/>
      <c r="E52" s="240"/>
      <c r="F52" s="241">
        <f>F50</f>
        <v>0</v>
      </c>
    </row>
    <row r="53" spans="1:6" s="206" customFormat="1" ht="15.6">
      <c r="A53" s="224"/>
      <c r="B53" s="257"/>
      <c r="C53" s="214"/>
      <c r="D53" s="242"/>
      <c r="E53" s="243"/>
      <c r="F53" s="227"/>
    </row>
    <row r="54" spans="1:6" s="206" customFormat="1" ht="15.6">
      <c r="A54" s="218" t="s">
        <v>41</v>
      </c>
      <c r="B54" s="219" t="s">
        <v>39</v>
      </c>
      <c r="C54" s="220"/>
      <c r="D54" s="221"/>
      <c r="E54" s="222"/>
      <c r="F54" s="223"/>
    </row>
    <row r="55" spans="1:6" s="206" customFormat="1" ht="15">
      <c r="A55" s="224" t="s">
        <v>126</v>
      </c>
      <c r="B55" s="258" t="s">
        <v>329</v>
      </c>
      <c r="C55" s="226" t="s">
        <v>7</v>
      </c>
      <c r="D55" s="215">
        <v>26.8</v>
      </c>
      <c r="E55" s="216"/>
      <c r="F55" s="227">
        <f>D55*E55</f>
        <v>0</v>
      </c>
    </row>
    <row r="56" spans="1:6" s="206" customFormat="1" ht="17.399999999999999">
      <c r="A56" s="212"/>
      <c r="B56" s="256" t="s">
        <v>40</v>
      </c>
      <c r="C56" s="238"/>
      <c r="D56" s="239"/>
      <c r="E56" s="240"/>
      <c r="F56" s="241">
        <f>SUM(F55:F55)</f>
        <v>0</v>
      </c>
    </row>
    <row r="57" spans="1:6" s="206" customFormat="1" ht="15.6">
      <c r="A57" s="212"/>
      <c r="B57" s="257"/>
      <c r="C57" s="214"/>
      <c r="D57" s="242"/>
      <c r="E57" s="243"/>
      <c r="F57" s="227"/>
    </row>
    <row r="58" spans="1:6" s="206" customFormat="1" ht="15.6">
      <c r="A58" s="218" t="s">
        <v>47</v>
      </c>
      <c r="B58" s="219" t="s">
        <v>42</v>
      </c>
      <c r="C58" s="220"/>
      <c r="D58" s="221"/>
      <c r="E58" s="222"/>
      <c r="F58" s="223"/>
    </row>
    <row r="59" spans="1:6" s="206" customFormat="1" ht="15">
      <c r="A59" s="224" t="s">
        <v>49</v>
      </c>
      <c r="B59" s="258" t="s">
        <v>43</v>
      </c>
      <c r="C59" s="214"/>
      <c r="D59" s="242"/>
      <c r="E59" s="243"/>
      <c r="F59" s="227"/>
    </row>
    <row r="60" spans="1:6" s="206" customFormat="1" ht="15.6">
      <c r="A60" s="224" t="s">
        <v>50</v>
      </c>
      <c r="B60" s="247" t="s">
        <v>44</v>
      </c>
      <c r="C60" s="214"/>
      <c r="D60" s="242"/>
      <c r="E60" s="243"/>
      <c r="F60" s="227"/>
    </row>
    <row r="61" spans="1:6" s="206" customFormat="1" ht="15">
      <c r="A61" s="224" t="s">
        <v>330</v>
      </c>
      <c r="B61" s="230" t="s">
        <v>362</v>
      </c>
      <c r="C61" s="226" t="s">
        <v>4</v>
      </c>
      <c r="D61" s="215">
        <v>25</v>
      </c>
      <c r="E61" s="216"/>
      <c r="F61" s="227">
        <f>D61*E61</f>
        <v>0</v>
      </c>
    </row>
    <row r="62" spans="1:6" s="206" customFormat="1" ht="15.6">
      <c r="A62" s="224" t="s">
        <v>331</v>
      </c>
      <c r="B62" s="247" t="s">
        <v>45</v>
      </c>
      <c r="C62" s="248"/>
      <c r="D62" s="249"/>
      <c r="E62" s="216"/>
      <c r="F62" s="227"/>
    </row>
    <row r="63" spans="1:6" s="206" customFormat="1" ht="15">
      <c r="A63" s="224" t="s">
        <v>332</v>
      </c>
      <c r="B63" s="230" t="s">
        <v>363</v>
      </c>
      <c r="C63" s="226" t="s">
        <v>4</v>
      </c>
      <c r="D63" s="215">
        <f>22*0.4</f>
        <v>8.8000000000000007</v>
      </c>
      <c r="E63" s="216"/>
      <c r="F63" s="227">
        <f>D63*E63</f>
        <v>0</v>
      </c>
    </row>
    <row r="64" spans="1:6" s="206" customFormat="1" ht="15.6" hidden="1">
      <c r="A64" s="224" t="s">
        <v>333</v>
      </c>
      <c r="B64" s="247" t="s">
        <v>334</v>
      </c>
      <c r="C64" s="226"/>
      <c r="D64" s="215"/>
      <c r="E64" s="216"/>
      <c r="F64" s="227"/>
    </row>
    <row r="65" spans="1:6" s="206" customFormat="1" ht="15" hidden="1">
      <c r="A65" s="224" t="s">
        <v>335</v>
      </c>
      <c r="B65" s="230" t="s">
        <v>336</v>
      </c>
      <c r="C65" s="226" t="s">
        <v>9</v>
      </c>
      <c r="D65" s="215"/>
      <c r="E65" s="216"/>
      <c r="F65" s="227">
        <f>D65*E65</f>
        <v>0</v>
      </c>
    </row>
    <row r="66" spans="1:6" s="206" customFormat="1" ht="17.25" customHeight="1">
      <c r="A66" s="212"/>
      <c r="B66" s="256" t="s">
        <v>46</v>
      </c>
      <c r="C66" s="238"/>
      <c r="D66" s="239"/>
      <c r="E66" s="240"/>
      <c r="F66" s="241">
        <f>SUM(F61:F65)</f>
        <v>0</v>
      </c>
    </row>
    <row r="67" spans="1:6" s="259" customFormat="1" ht="17.25" customHeight="1">
      <c r="A67" s="212"/>
      <c r="B67" s="257"/>
      <c r="C67" s="214"/>
      <c r="D67" s="242"/>
      <c r="E67" s="243"/>
      <c r="F67" s="227"/>
    </row>
    <row r="68" spans="1:6" s="206" customFormat="1" ht="15.6">
      <c r="A68" s="218" t="s">
        <v>53</v>
      </c>
      <c r="B68" s="219" t="s">
        <v>48</v>
      </c>
      <c r="C68" s="220"/>
      <c r="D68" s="221"/>
      <c r="E68" s="222"/>
      <c r="F68" s="223"/>
    </row>
    <row r="69" spans="1:6" s="206" customFormat="1" ht="15.6">
      <c r="A69" s="260" t="s">
        <v>337</v>
      </c>
      <c r="B69" s="261" t="s">
        <v>51</v>
      </c>
      <c r="C69" s="226"/>
      <c r="D69" s="215"/>
      <c r="E69" s="216"/>
      <c r="F69" s="227"/>
    </row>
    <row r="70" spans="1:6" s="206" customFormat="1" ht="15">
      <c r="A70" s="260" t="s">
        <v>338</v>
      </c>
      <c r="B70" s="258" t="s">
        <v>339</v>
      </c>
      <c r="C70" s="226" t="s">
        <v>4</v>
      </c>
      <c r="D70" s="215">
        <f>5*3.5</f>
        <v>17.5</v>
      </c>
      <c r="E70" s="216"/>
      <c r="F70" s="227">
        <f>D70*E70</f>
        <v>0</v>
      </c>
    </row>
    <row r="71" spans="1:6" s="206" customFormat="1" ht="18" customHeight="1">
      <c r="A71" s="212"/>
      <c r="B71" s="256" t="s">
        <v>52</v>
      </c>
      <c r="C71" s="238"/>
      <c r="D71" s="239"/>
      <c r="E71" s="240"/>
      <c r="F71" s="241">
        <f>SUM(F70)</f>
        <v>0</v>
      </c>
    </row>
    <row r="72" spans="1:6" s="206" customFormat="1" ht="10.8" customHeight="1">
      <c r="A72" s="224"/>
      <c r="B72" s="262"/>
      <c r="C72" s="214"/>
      <c r="D72" s="242"/>
      <c r="E72" s="243"/>
      <c r="F72" s="227"/>
    </row>
    <row r="73" spans="1:6" s="206" customFormat="1" ht="15.6">
      <c r="A73" s="218" t="s">
        <v>72</v>
      </c>
      <c r="B73" s="219" t="s">
        <v>55</v>
      </c>
      <c r="C73" s="220"/>
      <c r="D73" s="221"/>
      <c r="E73" s="222"/>
      <c r="F73" s="223"/>
    </row>
    <row r="74" spans="1:6" s="206" customFormat="1" ht="15.6">
      <c r="A74" s="224" t="s">
        <v>135</v>
      </c>
      <c r="B74" s="247" t="s">
        <v>340</v>
      </c>
      <c r="C74" s="214"/>
      <c r="D74" s="242"/>
      <c r="E74" s="243"/>
      <c r="F74" s="227"/>
    </row>
    <row r="75" spans="1:6" s="206" customFormat="1" ht="15">
      <c r="A75" s="224" t="s">
        <v>168</v>
      </c>
      <c r="B75" s="230" t="s">
        <v>341</v>
      </c>
      <c r="C75" s="214"/>
      <c r="D75" s="242"/>
      <c r="E75" s="243"/>
      <c r="F75" s="227"/>
    </row>
    <row r="76" spans="1:6" s="206" customFormat="1" ht="15">
      <c r="A76" s="224"/>
      <c r="B76" s="230" t="s">
        <v>342</v>
      </c>
      <c r="C76" s="226" t="s">
        <v>9</v>
      </c>
      <c r="D76" s="215">
        <v>3</v>
      </c>
      <c r="E76" s="216"/>
      <c r="F76" s="227">
        <f>D76*E76</f>
        <v>0</v>
      </c>
    </row>
    <row r="77" spans="1:6" s="206" customFormat="1" ht="17.399999999999999" customHeight="1">
      <c r="A77" s="263"/>
      <c r="B77" s="256" t="s">
        <v>56</v>
      </c>
      <c r="C77" s="264"/>
      <c r="D77" s="239"/>
      <c r="E77" s="240"/>
      <c r="F77" s="241">
        <f>SUM(F76:F76)</f>
        <v>0</v>
      </c>
    </row>
    <row r="78" spans="1:6" s="206" customFormat="1" ht="10.8" customHeight="1">
      <c r="A78" s="263"/>
      <c r="B78" s="213"/>
      <c r="C78" s="265"/>
      <c r="D78" s="242"/>
      <c r="E78" s="243"/>
      <c r="F78" s="227"/>
    </row>
    <row r="79" spans="1:6" s="206" customFormat="1" ht="15.6">
      <c r="A79" s="218" t="s">
        <v>54</v>
      </c>
      <c r="B79" s="219" t="s">
        <v>343</v>
      </c>
      <c r="C79" s="220"/>
      <c r="D79" s="221"/>
      <c r="E79" s="222"/>
      <c r="F79" s="223"/>
    </row>
    <row r="80" spans="1:6" s="206" customFormat="1" ht="15.6">
      <c r="A80" s="224" t="s">
        <v>344</v>
      </c>
      <c r="B80" s="247" t="s">
        <v>345</v>
      </c>
      <c r="C80" s="265"/>
      <c r="D80" s="242"/>
      <c r="E80" s="243"/>
      <c r="F80" s="227"/>
    </row>
    <row r="81" spans="1:6" s="206" customFormat="1" ht="15.6">
      <c r="A81" s="224" t="s">
        <v>346</v>
      </c>
      <c r="B81" s="247" t="s">
        <v>347</v>
      </c>
      <c r="C81" s="226"/>
      <c r="D81" s="215"/>
      <c r="E81" s="243"/>
      <c r="F81" s="227"/>
    </row>
    <row r="82" spans="1:6" s="206" customFormat="1" ht="28.8" customHeight="1">
      <c r="A82" s="266" t="s">
        <v>348</v>
      </c>
      <c r="B82" s="395" t="s">
        <v>364</v>
      </c>
      <c r="C82" s="226" t="s">
        <v>7</v>
      </c>
      <c r="D82" s="215">
        <v>9</v>
      </c>
      <c r="E82" s="243"/>
      <c r="F82" s="227">
        <f t="shared" ref="F82:F84" si="7">D82*E82</f>
        <v>0</v>
      </c>
    </row>
    <row r="83" spans="1:6" s="206" customFormat="1" ht="18" customHeight="1">
      <c r="A83" s="266"/>
      <c r="B83" s="395" t="s">
        <v>365</v>
      </c>
      <c r="C83" s="226" t="s">
        <v>9</v>
      </c>
      <c r="D83" s="215">
        <v>3</v>
      </c>
      <c r="E83" s="243"/>
      <c r="F83" s="227">
        <f t="shared" si="7"/>
        <v>0</v>
      </c>
    </row>
    <row r="84" spans="1:6" s="206" customFormat="1" ht="30" customHeight="1">
      <c r="A84" s="266" t="s">
        <v>349</v>
      </c>
      <c r="B84" s="395" t="s">
        <v>366</v>
      </c>
      <c r="C84" s="226" t="s">
        <v>9</v>
      </c>
      <c r="D84" s="215">
        <v>2</v>
      </c>
      <c r="E84" s="216"/>
      <c r="F84" s="217">
        <f t="shared" si="7"/>
        <v>0</v>
      </c>
    </row>
    <row r="85" spans="1:6" s="206" customFormat="1" ht="17.399999999999999" customHeight="1">
      <c r="A85" s="263"/>
      <c r="B85" s="256" t="s">
        <v>350</v>
      </c>
      <c r="C85" s="264"/>
      <c r="D85" s="239"/>
      <c r="E85" s="240"/>
      <c r="F85" s="241">
        <f>SUM(F81:F84)</f>
        <v>0</v>
      </c>
    </row>
    <row r="86" spans="1:6" s="273" customFormat="1" ht="10.8" customHeight="1">
      <c r="A86" s="267"/>
      <c r="B86" s="268"/>
      <c r="C86" s="269"/>
      <c r="D86" s="270"/>
      <c r="E86" s="271"/>
      <c r="F86" s="272"/>
    </row>
    <row r="87" spans="1:6" s="206" customFormat="1" ht="15.6">
      <c r="A87" s="218" t="s">
        <v>73</v>
      </c>
      <c r="B87" s="219" t="s">
        <v>65</v>
      </c>
      <c r="C87" s="220"/>
      <c r="D87" s="221"/>
      <c r="E87" s="222"/>
      <c r="F87" s="223"/>
    </row>
    <row r="88" spans="1:6" s="206" customFormat="1" ht="15.6">
      <c r="A88" s="224" t="s">
        <v>148</v>
      </c>
      <c r="B88" s="247" t="s">
        <v>66</v>
      </c>
      <c r="C88" s="226"/>
      <c r="D88" s="215"/>
      <c r="E88" s="243"/>
      <c r="F88" s="227"/>
    </row>
    <row r="89" spans="1:6" s="206" customFormat="1" ht="18" customHeight="1">
      <c r="A89" s="224" t="s">
        <v>170</v>
      </c>
      <c r="B89" s="230" t="s">
        <v>351</v>
      </c>
      <c r="C89" s="226" t="s">
        <v>4</v>
      </c>
      <c r="D89" s="215">
        <v>15</v>
      </c>
      <c r="E89" s="243"/>
      <c r="F89" s="227">
        <f t="shared" ref="F89:F90" si="8">D89*E89</f>
        <v>0</v>
      </c>
    </row>
    <row r="90" spans="1:6" s="206" customFormat="1" ht="18" customHeight="1">
      <c r="A90" s="224" t="s">
        <v>352</v>
      </c>
      <c r="B90" s="230" t="s">
        <v>367</v>
      </c>
      <c r="C90" s="226" t="s">
        <v>4</v>
      </c>
      <c r="D90" s="215">
        <f>12+4*1.5</f>
        <v>18</v>
      </c>
      <c r="E90" s="243"/>
      <c r="F90" s="227">
        <f t="shared" si="8"/>
        <v>0</v>
      </c>
    </row>
    <row r="91" spans="1:6" s="206" customFormat="1" ht="16.8" customHeight="1">
      <c r="A91" s="263"/>
      <c r="B91" s="256" t="s">
        <v>67</v>
      </c>
      <c r="C91" s="264"/>
      <c r="D91" s="239"/>
      <c r="E91" s="240"/>
      <c r="F91" s="241">
        <f>SUM(F88:F90)</f>
        <v>0</v>
      </c>
    </row>
    <row r="92" spans="1:6" s="206" customFormat="1" ht="15">
      <c r="A92" s="263"/>
      <c r="B92" s="213"/>
      <c r="C92" s="265"/>
      <c r="D92" s="242"/>
      <c r="E92" s="243"/>
      <c r="F92" s="227"/>
    </row>
    <row r="93" spans="1:6" s="206" customFormat="1" ht="15.6">
      <c r="A93" s="218" t="s">
        <v>74</v>
      </c>
      <c r="B93" s="219" t="s">
        <v>11</v>
      </c>
      <c r="C93" s="220"/>
      <c r="D93" s="221"/>
      <c r="E93" s="222"/>
      <c r="F93" s="223"/>
    </row>
    <row r="94" spans="1:6" s="206" customFormat="1" ht="17.25" customHeight="1">
      <c r="A94" s="224" t="s">
        <v>140</v>
      </c>
      <c r="B94" s="247" t="s">
        <v>62</v>
      </c>
      <c r="C94" s="226"/>
      <c r="D94" s="215"/>
      <c r="E94" s="216"/>
      <c r="F94" s="227"/>
    </row>
    <row r="95" spans="1:6" s="206" customFormat="1" ht="15">
      <c r="A95" s="224" t="s">
        <v>171</v>
      </c>
      <c r="B95" s="230" t="s">
        <v>368</v>
      </c>
      <c r="C95" s="226" t="s">
        <v>4</v>
      </c>
      <c r="D95" s="215">
        <v>4.2</v>
      </c>
      <c r="E95" s="216"/>
      <c r="F95" s="227">
        <f>D95*E95</f>
        <v>0</v>
      </c>
    </row>
    <row r="96" spans="1:6" s="206" customFormat="1" ht="15">
      <c r="A96" s="224" t="s">
        <v>172</v>
      </c>
      <c r="B96" s="230" t="s">
        <v>369</v>
      </c>
      <c r="C96" s="226" t="s">
        <v>4</v>
      </c>
      <c r="D96" s="215">
        <v>9</v>
      </c>
      <c r="E96" s="216"/>
      <c r="F96" s="227">
        <f t="shared" ref="F96" si="9">D96*E96</f>
        <v>0</v>
      </c>
    </row>
    <row r="97" spans="1:6" s="400" customFormat="1" ht="17.399999999999999" customHeight="1">
      <c r="A97" s="396"/>
      <c r="B97" s="397" t="s">
        <v>353</v>
      </c>
      <c r="C97" s="398"/>
      <c r="D97" s="399"/>
      <c r="E97" s="328"/>
      <c r="F97" s="274"/>
    </row>
    <row r="98" spans="1:6" s="400" customFormat="1" ht="15">
      <c r="A98" s="401" t="s">
        <v>370</v>
      </c>
      <c r="B98" s="402" t="s">
        <v>371</v>
      </c>
      <c r="C98" s="398" t="s">
        <v>4</v>
      </c>
      <c r="D98" s="403">
        <f>D82</f>
        <v>9</v>
      </c>
      <c r="E98" s="329"/>
      <c r="F98" s="274">
        <f t="shared" ref="F98" si="10">E98*D98</f>
        <v>0</v>
      </c>
    </row>
    <row r="99" spans="1:6" s="206" customFormat="1" ht="15.6">
      <c r="A99" s="260" t="s">
        <v>177</v>
      </c>
      <c r="B99" s="247" t="s">
        <v>57</v>
      </c>
      <c r="C99" s="226"/>
      <c r="D99" s="215"/>
      <c r="E99" s="216"/>
      <c r="F99" s="227"/>
    </row>
    <row r="100" spans="1:6" s="206" customFormat="1" ht="15">
      <c r="A100" s="260" t="s">
        <v>178</v>
      </c>
      <c r="B100" s="230" t="s">
        <v>354</v>
      </c>
      <c r="C100" s="226" t="s">
        <v>4</v>
      </c>
      <c r="D100" s="215">
        <v>2.6</v>
      </c>
      <c r="E100" s="216"/>
      <c r="F100" s="227">
        <f>D100*E100</f>
        <v>0</v>
      </c>
    </row>
    <row r="101" spans="1:6" s="278" customFormat="1" ht="16.8" customHeight="1">
      <c r="A101" s="275"/>
      <c r="B101" s="276" t="s">
        <v>58</v>
      </c>
      <c r="C101" s="277"/>
      <c r="D101" s="239"/>
      <c r="E101" s="240"/>
      <c r="F101" s="241">
        <f>SUM(F95:F100)</f>
        <v>0</v>
      </c>
    </row>
    <row r="102" spans="1:6" s="206" customFormat="1" ht="15">
      <c r="A102" s="279"/>
      <c r="B102" s="280"/>
      <c r="C102" s="280"/>
      <c r="D102" s="281"/>
      <c r="E102" s="282"/>
      <c r="F102" s="280"/>
    </row>
    <row r="103" spans="1:6" s="206" customFormat="1" ht="20.25" customHeight="1">
      <c r="A103" s="346" t="s">
        <v>372</v>
      </c>
      <c r="B103" s="347"/>
      <c r="C103" s="348"/>
      <c r="D103" s="283"/>
      <c r="E103" s="284"/>
      <c r="F103" s="285">
        <f>F101+F85+F77+F71+F66+F52+F13+F56+F91</f>
        <v>0</v>
      </c>
    </row>
    <row r="104" spans="1:6" ht="15" thickBot="1">
      <c r="E104" s="286"/>
    </row>
    <row r="105" spans="1:6" s="292" customFormat="1" ht="16.2" thickBot="1">
      <c r="A105" s="287"/>
      <c r="B105" s="302" t="s">
        <v>373</v>
      </c>
      <c r="C105" s="289"/>
      <c r="D105" s="299">
        <v>0.15</v>
      </c>
      <c r="E105" s="290"/>
      <c r="F105" s="291">
        <f>F103*D105</f>
        <v>0</v>
      </c>
    </row>
    <row r="106" spans="1:6" ht="15" thickBot="1">
      <c r="E106" s="286"/>
    </row>
    <row r="107" spans="1:6" s="292" customFormat="1" ht="16.2" thickBot="1">
      <c r="A107" s="404"/>
      <c r="B107" s="288" t="s">
        <v>390</v>
      </c>
      <c r="C107" s="289"/>
      <c r="D107" s="299">
        <v>0.1007</v>
      </c>
      <c r="E107" s="290"/>
      <c r="F107" s="304">
        <v>2</v>
      </c>
    </row>
    <row r="108" spans="1:6" s="206" customFormat="1" ht="15.6" thickBot="1">
      <c r="A108" s="293"/>
      <c r="B108" s="293"/>
      <c r="D108" s="294"/>
      <c r="E108" s="295"/>
      <c r="F108" s="296"/>
    </row>
    <row r="109" spans="1:6" s="292" customFormat="1" ht="18" thickBot="1">
      <c r="A109" s="287"/>
      <c r="B109" s="288" t="s">
        <v>374</v>
      </c>
      <c r="C109" s="289"/>
      <c r="D109" s="297"/>
      <c r="E109" s="290"/>
      <c r="F109" s="405">
        <f>2*(F103+F105)</f>
        <v>0</v>
      </c>
    </row>
    <row r="110" spans="1:6" s="206" customFormat="1" ht="15">
      <c r="A110" s="293"/>
      <c r="B110" s="293"/>
      <c r="D110" s="294"/>
      <c r="E110" s="298"/>
      <c r="F110" s="296"/>
    </row>
  </sheetData>
  <sheetProtection selectLockedCells="1"/>
  <mergeCells count="3">
    <mergeCell ref="A1:F1"/>
    <mergeCell ref="A3:F3"/>
    <mergeCell ref="A103:C103"/>
  </mergeCells>
  <pageMargins left="0.7" right="0.7" top="0.75" bottom="0.75" header="0.3" footer="0.3"/>
  <pageSetup paperSize="9" scale="62" orientation="portrait" r:id="rId1"/>
  <rowBreaks count="2" manualBreakCount="2">
    <brk id="42" max="5" man="1"/>
    <brk id="109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2EDB-468F-4B75-AC0C-1FA9F7D7731B}">
  <dimension ref="A1:B13"/>
  <sheetViews>
    <sheetView view="pageBreakPreview" zoomScale="90" zoomScaleNormal="100" zoomScaleSheetLayoutView="90" workbookViewId="0">
      <selection activeCell="D12" sqref="D12"/>
    </sheetView>
  </sheetViews>
  <sheetFormatPr baseColWidth="10" defaultRowHeight="14.4"/>
  <cols>
    <col min="1" max="1" width="68.6640625" style="308" customWidth="1"/>
    <col min="2" max="2" width="21.44140625" customWidth="1"/>
  </cols>
  <sheetData>
    <row r="1" spans="1:2" ht="90" customHeight="1">
      <c r="A1" s="363"/>
      <c r="B1" s="363"/>
    </row>
    <row r="2" spans="1:2" ht="15" thickBot="1"/>
    <row r="3" spans="1:2" s="34" customFormat="1" ht="17.25" customHeight="1">
      <c r="A3" s="361" t="s">
        <v>397</v>
      </c>
      <c r="B3" s="362"/>
    </row>
    <row r="4" spans="1:2" s="34" customFormat="1" ht="12.75" customHeight="1">
      <c r="A4" s="112"/>
      <c r="B4" s="113"/>
    </row>
    <row r="5" spans="1:2" s="34" customFormat="1" ht="15">
      <c r="A5" s="114"/>
      <c r="B5" s="115"/>
    </row>
    <row r="6" spans="1:2" s="34" customFormat="1" ht="27.6" customHeight="1">
      <c r="A6" s="116" t="s">
        <v>289</v>
      </c>
      <c r="B6" s="117">
        <f>'3 cls + bureau '!F114</f>
        <v>0</v>
      </c>
    </row>
    <row r="7" spans="1:2" s="34" customFormat="1" ht="24" customHeight="1">
      <c r="A7" s="114"/>
      <c r="B7" s="118"/>
    </row>
    <row r="8" spans="1:2" s="34" customFormat="1" ht="27.6" customHeight="1">
      <c r="A8" s="116" t="s">
        <v>290</v>
      </c>
      <c r="B8" s="117">
        <f>cantine!E133</f>
        <v>0</v>
      </c>
    </row>
    <row r="9" spans="1:2" s="34" customFormat="1" ht="18.600000000000001" customHeight="1">
      <c r="A9" s="119"/>
      <c r="B9" s="118"/>
    </row>
    <row r="10" spans="1:2" s="34" customFormat="1" ht="27.6" customHeight="1">
      <c r="A10" s="116" t="s">
        <v>355</v>
      </c>
      <c r="B10" s="117">
        <f>'latrine 3 cabines'!F109</f>
        <v>0</v>
      </c>
    </row>
    <row r="11" spans="1:2" s="34" customFormat="1" ht="20.399999999999999" customHeight="1" thickBot="1">
      <c r="A11" s="406"/>
      <c r="B11" s="407"/>
    </row>
    <row r="12" spans="1:2" s="34" customFormat="1" ht="25.2" customHeight="1" thickBot="1">
      <c r="A12" s="408" t="s">
        <v>398</v>
      </c>
      <c r="B12" s="409">
        <f>B10+B8+B6</f>
        <v>0</v>
      </c>
    </row>
    <row r="13" spans="1:2" s="34" customFormat="1" ht="15.6">
      <c r="A13" s="111"/>
      <c r="B13" s="109"/>
    </row>
  </sheetData>
  <sheetProtection selectLockedCells="1"/>
  <mergeCells count="3">
    <mergeCell ref="A1:B1"/>
    <mergeCell ref="A3:B3"/>
    <mergeCell ref="A11:B11"/>
  </mergeCell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3 cls + bureau </vt:lpstr>
      <vt:lpstr>cantine</vt:lpstr>
      <vt:lpstr>latrine 3 cabines</vt:lpstr>
      <vt:lpstr>Recap</vt:lpstr>
      <vt:lpstr>'3 cls + bureau '!Zone_d_impression</vt:lpstr>
      <vt:lpstr>cantine!Zone_d_impression</vt:lpstr>
      <vt:lpstr>'latrine 3 cabines'!Zone_d_impression</vt:lpstr>
      <vt:lpstr>Recap!Zone_d_impression</vt:lpstr>
    </vt:vector>
  </TitlesOfParts>
  <Company>PRIVEE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SIEHI  RGER</dc:creator>
  <cp:lastModifiedBy>Koffi Simplice Loukou</cp:lastModifiedBy>
  <cp:lastPrinted>2022-07-11T10:29:12Z</cp:lastPrinted>
  <dcterms:created xsi:type="dcterms:W3CDTF">2007-12-03T22:12:12Z</dcterms:created>
  <dcterms:modified xsi:type="dcterms:W3CDTF">2022-09-14T13:04:26Z</dcterms:modified>
</cp:coreProperties>
</file>